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440" windowHeight="11760" firstSheet="6" activeTab="6"/>
  </bookViews>
  <sheets>
    <sheet name="Công trình" sheetId="1" state="hidden" r:id="rId1"/>
    <sheet name="Hao phí vật tư" sheetId="2" state="hidden" r:id="rId2"/>
    <sheet name="Vật liệu" sheetId="3" state="hidden" r:id="rId3"/>
    <sheet name="Nhân công" sheetId="4" state="hidden" r:id="rId4"/>
    <sheet name="Máy thi công" sheetId="5" state="hidden" r:id="rId5"/>
    <sheet name="TH dự toán hạng mục" sheetId="6" state="hidden" r:id="rId6"/>
    <sheet name="PHU LUC" sheetId="7" r:id="rId7"/>
    <sheet name="Thuyết minh" sheetId="8" state="hidden" r:id="rId8"/>
    <sheet name="Bìa ngoài" sheetId="9" state="hidden" r:id="rId9"/>
    <sheet name="Bìa trong" sheetId="10" state="hidden" r:id="rId10"/>
    <sheet name="Cước ô tô" sheetId="11" state="hidden" r:id="rId11"/>
    <sheet name="Cước ô tô kết hợp" sheetId="12" state="hidden" r:id="rId12"/>
    <sheet name="Cước bộ" sheetId="13" state="hidden" r:id="rId13"/>
    <sheet name="Cước sông" sheetId="14" state="hidden" r:id="rId14"/>
    <sheet name="Hệ số" sheetId="15" state="hidden" r:id="rId15"/>
  </sheets>
  <definedNames>
    <definedName name="_xlnm.Print_Titles" localSheetId="0">'Công trình'!$4:$5</definedName>
    <definedName name="_xlnm.Print_Titles" localSheetId="13">'Cước sông'!$5:$6</definedName>
    <definedName name="_xlnm.Print_Titles" localSheetId="1">'Hao phí vật tư'!$5:$6</definedName>
    <definedName name="_xlnm.Print_Titles" localSheetId="4">'Máy thi công'!$5:$5</definedName>
    <definedName name="_xlnm.Print_Titles" localSheetId="3">'Nhân công'!$5:$5</definedName>
    <definedName name="_xlnm.Print_Titles" localSheetId="6">'PHU LUC'!$11:$11</definedName>
    <definedName name="_xlnm.Print_Titles" localSheetId="5">'TH dự toán hạng mục'!$5:$5</definedName>
    <definedName name="_xlnm.Print_Titles" localSheetId="2">'Vật liệu'!$6:$7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rFont val="Tahoma"/>
            <family val="0"/>
          </rPr>
          <t>Sử dụng cho Thông tư 210/2016/TT-BTC và Thông tư 75/2014/TT-BTC</t>
        </r>
      </text>
    </comment>
    <comment ref="E28" authorId="0">
      <text>
        <r>
          <rPr>
            <b/>
            <sz val="8"/>
            <rFont val="Tahoma"/>
            <family val="0"/>
          </rPr>
          <t>- 15%: Trường hợp thuê đơn vị tư vấn thẩm tra phục vụ công tác thẩm định của cơ quan chuyên môn
- 80%: Trường hợp cơ quan chuyên môn trực thuộc người quyết định đầu tư trực tiếp thẩm định (không thuê đơn vị tư vấn thẩm tra)</t>
        </r>
      </text>
    </comment>
    <comment ref="E29" authorId="0">
      <text>
        <r>
          <rPr>
            <b/>
            <sz val="8"/>
            <rFont val="Tahoma"/>
            <family val="0"/>
          </rPr>
          <t>- 15%: Trường hợp thuê đơn vị tư vấn thẩm tra phục vụ công tác thẩm định của cơ quan chuyên môn
- 80%: Trường hợp cơ quan chuyên môn trực thuộc người quyết định đầu tư trực tiếp thẩm định (không thuê đơn vị tư vấn thẩm tra)</t>
        </r>
      </text>
    </comment>
    <comment ref="E52" authorId="0">
      <text>
        <r>
          <rPr>
            <b/>
            <sz val="8"/>
            <rFont val="Tahoma"/>
            <family val="0"/>
          </rPr>
          <t>Người dùng tự tra cứu theo Thông tư</t>
        </r>
      </text>
    </comment>
  </commentList>
</comments>
</file>

<file path=xl/sharedStrings.xml><?xml version="1.0" encoding="utf-8"?>
<sst xmlns="http://schemas.openxmlformats.org/spreadsheetml/2006/main" count="1058" uniqueCount="619">
  <si>
    <t>6.11</t>
  </si>
  <si>
    <t>Chi phí chung theo chi phí nhân công</t>
  </si>
  <si>
    <t>.... , ngày .… tháng …. năm …...</t>
  </si>
  <si>
    <t>Hệ số vật liệu phụ</t>
  </si>
  <si>
    <t>hsGbhtn</t>
  </si>
  <si>
    <t>(Theo giá thông báo quý .. năm 20..)</t>
  </si>
  <si>
    <t>- Công bố giá vật liệu Liên Sở Xây dựng - Tài chính tỉnh ....</t>
  </si>
  <si>
    <t>Chi phí bảo hiểm trách nhiệm nghề nghiệp</t>
  </si>
  <si>
    <t>Bảng chi phí</t>
  </si>
  <si>
    <t>- Đơn giá xây dựng công trình phần sửa chữa ban hành kèm theo quyết định số .../....../ QĐ-UBND ngày .../....../ của UBND Tỉnh ....</t>
  </si>
  <si>
    <t>Giá hiện tại</t>
  </si>
  <si>
    <t>NCG</t>
  </si>
  <si>
    <t>V86573</t>
  </si>
  <si>
    <t>Chi phí công tác giám sát, đánh giá đầu tư (Nghị định 84/2015/NĐ-CP)</t>
  </si>
  <si>
    <t>6.10</t>
  </si>
  <si>
    <t>NVKS</t>
  </si>
  <si>
    <t>Chi phí thẩm tra thiết kế xây dựng (Thông tư 12/2021/TT-BXD)</t>
  </si>
  <si>
    <t>Nhân công đất</t>
  </si>
  <si>
    <t>Vật liệu phụ</t>
  </si>
  <si>
    <t>Lắp đặt ống nhựa HDPE đường kính 140mm, PN8 bằng phương pháp hàn gia nhiệt, chiều dày 6,7mm</t>
  </si>
  <si>
    <t>Đơn giá</t>
  </si>
  <si>
    <t>Chi phí đảm bảo an toàn giao thông phục vụ thi công</t>
  </si>
  <si>
    <t>Thép tròn Fi ≤18mm</t>
  </si>
  <si>
    <t>THU NHẬP CHỊU THUẾ TÍNH TRƯỚC</t>
  </si>
  <si>
    <t>LXL12</t>
  </si>
  <si>
    <t>GSKS</t>
  </si>
  <si>
    <t>Giá vật liệu quý 3/2021 - huyện Quan Hóa - Cụm 5: Thép cuộn d6 - d8, CT3, CB240-T (Công ty gang thép Thái Nguyên)</t>
  </si>
  <si>
    <t>Bê tông móng, mố, trụ trên cạn SX bằng máy trộn, đổ bằng thủ công, bê tông M200, đá 2x4, PCB40</t>
  </si>
  <si>
    <t>Gia công vì kèo thép hình khẩu độ nhỏ, khẩu độ ≤9m</t>
  </si>
  <si>
    <t>Số: ......./.......</t>
  </si>
  <si>
    <t>Hệ số đảm bảo an toàn giao thông</t>
  </si>
  <si>
    <t>24/100 = 0,24</t>
  </si>
  <si>
    <t>Cộng vật liệu:</t>
  </si>
  <si>
    <t>Đinh tán Fi 22</t>
  </si>
  <si>
    <t>M102.0106</t>
  </si>
  <si>
    <t>hsTL</t>
  </si>
  <si>
    <t>hsGdp</t>
  </si>
  <si>
    <t>LBC</t>
  </si>
  <si>
    <t>THUẾ GIÁ TRỊ GIA TĂNG</t>
  </si>
  <si>
    <t>Tổng cộng</t>
  </si>
  <si>
    <t>7</t>
  </si>
  <si>
    <t>Chi phí khác</t>
  </si>
  <si>
    <t>V00641</t>
  </si>
  <si>
    <t>Máy khác</t>
  </si>
  <si>
    <t>3*4*1,2*1,4/100 = 0,2016</t>
  </si>
  <si>
    <t>1m3</t>
  </si>
  <si>
    <t>Tổng chênh giá thông báo</t>
  </si>
  <si>
    <t>Theo bảng tổng hợp dự toán hạng mục</t>
  </si>
  <si>
    <t>Gks trước thuế x tỷ lệ</t>
  </si>
  <si>
    <t>Tổng hợp chi phí</t>
  </si>
  <si>
    <t>- Thông tư số 11/2021/TT-BXD ngày 31/08/2021 của Bộ Xây dựng về việc hướng dẫn xác định và quản lý chi phí đầu tư xây dựng.</t>
  </si>
  <si>
    <t>Chi phí thiết bị</t>
  </si>
  <si>
    <t>- Đơn giá xây dựng công trình phần xây dựng ban hành kèm theo quyết định số .../....../QĐ-UBND ngày .../....../ của UBND Tỉnh ....</t>
  </si>
  <si>
    <t>Tổng cước bộ</t>
  </si>
  <si>
    <t>Tên vật tư</t>
  </si>
  <si>
    <t>Bu lông</t>
  </si>
  <si>
    <t>TL</t>
  </si>
  <si>
    <t>TTQT10</t>
  </si>
  <si>
    <t>NCTKT</t>
  </si>
  <si>
    <t>Chi phí hao hụt</t>
  </si>
  <si>
    <t>Nhóm TT01</t>
  </si>
  <si>
    <t>Tổng mức đầu tư sau loại trừ chi phí dự phòng x tỷ lệ</t>
  </si>
  <si>
    <t>TKKT</t>
  </si>
  <si>
    <t>Chi phí thẩm duyệt về phòng cháy, chữa cháy (Thông tư 150/2014/TT- BTC)</t>
  </si>
  <si>
    <t>AF.14112</t>
  </si>
  <si>
    <t>hsDBATGT</t>
  </si>
  <si>
    <t>Tự thẩm định toàn bộ</t>
  </si>
  <si>
    <t>NC</t>
  </si>
  <si>
    <t>V00494</t>
  </si>
  <si>
    <t>KLPS</t>
  </si>
  <si>
    <t>Hố thu, thả nước đầu ống</t>
  </si>
  <si>
    <t>NCKT</t>
  </si>
  <si>
    <t>Máy hàn nối ống nhựa: Máy gia nhiệt D315mm</t>
  </si>
  <si>
    <t>Bậc hàng</t>
  </si>
  <si>
    <t>Nhóm gốc</t>
  </si>
  <si>
    <t>Giá vật liệu quý 3/2021 - huyện Quan Hóa - Cụm 5: Đinh</t>
  </si>
  <si>
    <t>M112.4302</t>
  </si>
  <si>
    <t>hsTKBVTC</t>
  </si>
  <si>
    <t>công</t>
  </si>
  <si>
    <t>ca</t>
  </si>
  <si>
    <t>BẢNG CHI TIẾT KHỐI LƯỢNG CÔNG TÁC XÂY DỰNG</t>
  </si>
  <si>
    <t>Vật liệu</t>
  </si>
  <si>
    <t>(2,125*2*0,55+1,05*0,65*2)/100 = 0,037</t>
  </si>
  <si>
    <t>Theo bảng tổng hợp chi phí TB</t>
  </si>
  <si>
    <t>Khối lượng</t>
  </si>
  <si>
    <t>V00671</t>
  </si>
  <si>
    <t>Giá vật liệu quý 3/2021 - huyện Quan Hóa - Cụm 5: Gỗ ván</t>
  </si>
  <si>
    <t>Tổng mức đầu tư x tỷ lệ</t>
  </si>
  <si>
    <t>Nhân công</t>
  </si>
  <si>
    <t>Hệ số chi phí hạng mục chung</t>
  </si>
  <si>
    <t>TDDA209</t>
  </si>
  <si>
    <t>NỘI DUNG CHI PHÍ</t>
  </si>
  <si>
    <t>% hao hụt vận chuyển</t>
  </si>
  <si>
    <t>Chi phí giám sát thi công xây dựng (Thông tư 12/2021/TT-BXD)</t>
  </si>
  <si>
    <t>NGUYỄN VĂN A</t>
  </si>
  <si>
    <t>Que hàn</t>
  </si>
  <si>
    <t>3</t>
  </si>
  <si>
    <t>Chênh lệch giá thông báo</t>
  </si>
  <si>
    <t>5.19</t>
  </si>
  <si>
    <t>N0006</t>
  </si>
  <si>
    <t>6.9</t>
  </si>
  <si>
    <t>Chi phí thẩm định Báo cáo nghiên cứu khả thi (Thông tư 12/2021/TT-BXD)</t>
  </si>
  <si>
    <t>THM</t>
  </si>
  <si>
    <t>tấn</t>
  </si>
  <si>
    <t>Cần trục ô tô - sức nâng: 16 T</t>
  </si>
  <si>
    <t>Cách thẩm định:</t>
  </si>
  <si>
    <t>5.18</t>
  </si>
  <si>
    <t>Theo bảng chi phí dự phòng trượt giá</t>
  </si>
  <si>
    <t>AF.61110</t>
  </si>
  <si>
    <t>Máy khoan đứng - công suất: 4,5 kW</t>
  </si>
  <si>
    <t>Dây thép</t>
  </si>
  <si>
    <t>hsRVL</t>
  </si>
  <si>
    <t>Lắp dựng cốt thép móng, ĐK ≤10mm</t>
  </si>
  <si>
    <t>6.8</t>
  </si>
  <si>
    <t>Gqlda</t>
  </si>
  <si>
    <t>Chi phí lập hồ sơ mời thầu, hồ sơ yêu cầu (Nghị định 63/2014/NĐ-CP)</t>
  </si>
  <si>
    <t>Thành tiền</t>
  </si>
  <si>
    <t>GIÁ TRỊ TRƯỚC THUẾ</t>
  </si>
  <si>
    <t>5.29</t>
  </si>
  <si>
    <t>VL</t>
  </si>
  <si>
    <t>BẢNG TỔNG HỢP NHÂN CÔNG VÀ CHÊNH LỆCH GIÁ</t>
  </si>
  <si>
    <t>1</t>
  </si>
  <si>
    <t>5.17</t>
  </si>
  <si>
    <t>N0028</t>
  </si>
  <si>
    <t>(Căn cứ theo Quyết định số .... ngày ... tháng ... năm ..... của .......)</t>
  </si>
  <si>
    <t>M102.0302</t>
  </si>
  <si>
    <t>Theo bảng tổng hợp máy thi công và chênh lệch giá</t>
  </si>
  <si>
    <t>6.7</t>
  </si>
  <si>
    <t>5.28</t>
  </si>
  <si>
    <t>CÔNG TY CỔ PHẦN F1 TECH</t>
  </si>
  <si>
    <t>Oxy</t>
  </si>
  <si>
    <t>AF.61120</t>
  </si>
  <si>
    <t>N0015</t>
  </si>
  <si>
    <t>AF.14132</t>
  </si>
  <si>
    <t>Tên công tác</t>
  </si>
  <si>
    <t>M102.0902_TT11</t>
  </si>
  <si>
    <t>M112.1101</t>
  </si>
  <si>
    <t>(71,55+11,36)/1000 = 0,0829</t>
  </si>
  <si>
    <t>Theo bảng tổng hợp nhân công và chênh lệch giá</t>
  </si>
  <si>
    <t>Trụ đỡ</t>
  </si>
  <si>
    <t>% hao hụt bảo quản</t>
  </si>
  <si>
    <t>Biến thế hàn xoay chiều - công suất: 23 kW</t>
  </si>
  <si>
    <t>GSLD12</t>
  </si>
  <si>
    <t>Ggpmb</t>
  </si>
  <si>
    <t>TTKT12</t>
  </si>
  <si>
    <t>Hệ số loại sông</t>
  </si>
  <si>
    <t>TTTK2</t>
  </si>
  <si>
    <t>100m</t>
  </si>
  <si>
    <t>Gỗ ván</t>
  </si>
  <si>
    <t>TTTKXD</t>
  </si>
  <si>
    <t>kg</t>
  </si>
  <si>
    <t>Chi phí tư vấn đầu tư xây dựng</t>
  </si>
  <si>
    <t>Cước ôtô</t>
  </si>
  <si>
    <t>T</t>
  </si>
  <si>
    <t>TTDT2</t>
  </si>
  <si>
    <t>5.16</t>
  </si>
  <si>
    <t>Nhân công bậc 3,0/7 - Nhóm 2</t>
  </si>
  <si>
    <t>Chi phí một số công việc không xác định được khối lượng từ thiết kế</t>
  </si>
  <si>
    <t>NCTKT12</t>
  </si>
  <si>
    <t>6.6</t>
  </si>
  <si>
    <t>LTB12</t>
  </si>
  <si>
    <t>5.27</t>
  </si>
  <si>
    <t>- Nghị định 146/2017/NĐ-CP sửa đổi Nghị định 100/2016/NĐ-CP và Nghị định 12/2015/NĐ-CP về thuế GTGT, thuế TNDN.</t>
  </si>
  <si>
    <t>5.15</t>
  </si>
  <si>
    <t>Nhân công bậc 3,0/7 - Nhóm 1</t>
  </si>
  <si>
    <t>ĐỊA ĐIỂM:</t>
  </si>
  <si>
    <t>Nguồn mua</t>
  </si>
  <si>
    <t>M112.1502</t>
  </si>
  <si>
    <t>THUYẾT MINH LẬP DỰ TOÁN</t>
  </si>
  <si>
    <t>Cộng Máy:</t>
  </si>
  <si>
    <t>6.5</t>
  </si>
  <si>
    <t>TTTK210</t>
  </si>
  <si>
    <t>5.26</t>
  </si>
  <si>
    <t>M0111</t>
  </si>
  <si>
    <t>Thuế VAT</t>
  </si>
  <si>
    <t>5.14</t>
  </si>
  <si>
    <t>RPBM</t>
  </si>
  <si>
    <t>Phí thẩm định dự án đầu tư xây dựng (Thông tư 209/2016/TT-BTC)</t>
  </si>
  <si>
    <t>Mã hiệu</t>
  </si>
  <si>
    <t>CHI PHÍ TRỰC TIẾP</t>
  </si>
  <si>
    <t>Chi phí quản lý dự án x tỷ lệ</t>
  </si>
  <si>
    <t>- Một số tài liệu khác có liên quan.</t>
  </si>
  <si>
    <t>AB.11433</t>
  </si>
  <si>
    <t>6.4</t>
  </si>
  <si>
    <t>V00515</t>
  </si>
  <si>
    <t>5.25</t>
  </si>
  <si>
    <t>AF.11110</t>
  </si>
  <si>
    <t>5.13</t>
  </si>
  <si>
    <t>Thép tấm</t>
  </si>
  <si>
    <t>Diễn giải tính toán</t>
  </si>
  <si>
    <t>- Chênh lệch giá nhân công</t>
  </si>
  <si>
    <t>M102.1001</t>
  </si>
  <si>
    <t>V00112</t>
  </si>
  <si>
    <t>Chi phí lập hồ sơ mời thầu, hồ sơ đánh giá hồ sơ dự thầu</t>
  </si>
  <si>
    <t>5.24</t>
  </si>
  <si>
    <t>Ván khuôn cột - Cột vuông, chữ nhật</t>
  </si>
  <si>
    <t>Chi phí thẩm tra, phê duyệt quyết toán (Thông tư 10/2020/TT-BTC)</t>
  </si>
  <si>
    <t>ĐƠN VỊ LẬP</t>
  </si>
  <si>
    <t>TTTKT</t>
  </si>
  <si>
    <t>HẠNG MỤC:</t>
  </si>
  <si>
    <t>Đào móng cột, trụ, hố kiểm tra bằng thủ công, rộng &gt;1m, sâu ≤1m - Cấp đất III</t>
  </si>
  <si>
    <t>BNC</t>
  </si>
  <si>
    <t>...</t>
  </si>
  <si>
    <t>Chi phí đánh giá hồ sơ quan tâm, hồ sơ dự sơ tuyển (Nghị định 63/2014/NĐ-CP)</t>
  </si>
  <si>
    <t>M112.1301_TT11</t>
  </si>
  <si>
    <t>Máy nén khí, động cơ diezel - năng suất: 360 m3/h</t>
  </si>
  <si>
    <t>AI.61121</t>
  </si>
  <si>
    <t>AF.81122</t>
  </si>
  <si>
    <t>Lắp dựng cốt thép móng, ĐK ≤18mm</t>
  </si>
  <si>
    <t>hsGTGT</t>
  </si>
  <si>
    <t>Cộng nhân công đất:</t>
  </si>
  <si>
    <t>TTTKKT</t>
  </si>
  <si>
    <t>hsCNC</t>
  </si>
  <si>
    <t>Chi phí quản lý dự án</t>
  </si>
  <si>
    <t>HS điều chỉnh nhân công</t>
  </si>
  <si>
    <t>TT 10/2019 và 02/2020/TT-BXD</t>
  </si>
  <si>
    <t>Nước</t>
  </si>
  <si>
    <t>CỘNG HÒA XÃ HỘI CHỦ NGHĨA VIỆT NAM</t>
  </si>
  <si>
    <t>GSKS12</t>
  </si>
  <si>
    <t>AF.81132</t>
  </si>
  <si>
    <t>GTGT</t>
  </si>
  <si>
    <t>LHSTV12</t>
  </si>
  <si>
    <t>5.12</t>
  </si>
  <si>
    <t>LHSTV79</t>
  </si>
  <si>
    <t>TH_2021_QD_366_XD</t>
  </si>
  <si>
    <t>6.2</t>
  </si>
  <si>
    <t>Giá vật liệu quý 3/2021 - huyện Quan Hóa - Cụm 5: Đá 2x4</t>
  </si>
  <si>
    <t>Chi phí lập hồ sơ mời thầu, đánh giá hồ sơ dự thầu mua sắm vật tư, thiết bị (Thông tư 12/2021/TT-BXD)</t>
  </si>
  <si>
    <t>5.23</t>
  </si>
  <si>
    <t>Gỗ đà nẹp</t>
  </si>
  <si>
    <t xml:space="preserve">  - Nhân công bậc 3,5/7 - Nhóm 4</t>
  </si>
  <si>
    <t>5.11</t>
  </si>
  <si>
    <t>đồng</t>
  </si>
  <si>
    <t>GIÁ TRỊ</t>
  </si>
  <si>
    <t>hsGdc</t>
  </si>
  <si>
    <t>Cao</t>
  </si>
  <si>
    <t>Giá vật liệu quý 3/2021 - huyện Quan Hóa - Cụm 5: Đá 4x6</t>
  </si>
  <si>
    <t>6.1</t>
  </si>
  <si>
    <t>CHỦ ĐẦU TƯ:</t>
  </si>
  <si>
    <t>Thành tiền giá gốc</t>
  </si>
  <si>
    <t>hsBM</t>
  </si>
  <si>
    <t>CPKT09</t>
  </si>
  <si>
    <t>Loại thiết kế:</t>
  </si>
  <si>
    <t>5.22</t>
  </si>
  <si>
    <t xml:space="preserve">  - Nhân công bậc 3,5/7 - Nhóm 3</t>
  </si>
  <si>
    <t>5.10</t>
  </si>
  <si>
    <t>(Gxd+Gtb) trước thuế x tỷ lệ</t>
  </si>
  <si>
    <t>Cộng nhân công:</t>
  </si>
  <si>
    <t>- Căn cứ vào khối lượng xác định từ hồ sơ bản vẽ thiết kế.</t>
  </si>
  <si>
    <t>Chi phí lập hồ sơ mời thầu, đánh giá hồ sơ dự thầu tư vấn (Thông tư 12/2021/TT-BXD)</t>
  </si>
  <si>
    <t>Khối lượng một bộ phận</t>
  </si>
  <si>
    <t>CLNC</t>
  </si>
  <si>
    <t>Chênh lệch</t>
  </si>
  <si>
    <t>Chi phí thẩm định hồ sơ mời thầu, hồ sơ yêu cầu (Nghị định 63/2014/NĐ-CP)</t>
  </si>
  <si>
    <t>GT</t>
  </si>
  <si>
    <t>PCCC258</t>
  </si>
  <si>
    <t>N0020</t>
  </si>
  <si>
    <t>Chi phí thiết kế bản vẽ thi công (Thông tư 12/2021/TT-BXD)</t>
  </si>
  <si>
    <t>Độc lập - Tự do - Hạnh phúc</t>
  </si>
  <si>
    <t>Giá vật liệu quý 3/2021 - huyện Quan Hóa - Cụm 5: Thép vằn CT5, SD295A, CB300-V d12 (Công ty gang thép Thái Nguyên)</t>
  </si>
  <si>
    <t>5.20</t>
  </si>
  <si>
    <t>Chi phí bốc xếp</t>
  </si>
  <si>
    <t>Giá vật liệu quý 3/2021 - huyện Quan Hóa - Cụm 5: Cát vàng</t>
  </si>
  <si>
    <t>TTTK75</t>
  </si>
  <si>
    <t>Theo bảng tính toán, đo bóc khối lượng công trình</t>
  </si>
  <si>
    <t>V42212</t>
  </si>
  <si>
    <t>Chi phí thẩm tra báo cáo nghiên cứu khả thi (Thông tư 12/2021/TT-BXD)</t>
  </si>
  <si>
    <t>Cần cẩu bánh xích - sức nâng: 10 T</t>
  </si>
  <si>
    <t>hsGlbc</t>
  </si>
  <si>
    <t>BM</t>
  </si>
  <si>
    <t>IV</t>
  </si>
  <si>
    <t>LBC12</t>
  </si>
  <si>
    <t>5.31</t>
  </si>
  <si>
    <t>V02470</t>
  </si>
  <si>
    <t>hsC</t>
  </si>
  <si>
    <t>Máy đầm bê tông, đầm dùi - công suất: 1,5 kW</t>
  </si>
  <si>
    <t>-------------o0o-------------</t>
  </si>
  <si>
    <t>Giá vật liệu quý 3/2021 - huyện Quan Hóa - Cụm 5: Que hàn Việt Đức J412 VD 3.2-4.0mm</t>
  </si>
  <si>
    <t>(136,63+2,13)*3/1000 = 0,4163</t>
  </si>
  <si>
    <t>AI.11121</t>
  </si>
  <si>
    <t>GIÁ TRỊ SAU THUẾ</t>
  </si>
  <si>
    <t>Giá vật liệu quý 3/2021 - huyện Quan Hóa - Cụm 5: Xi măng bao Bỉm Sơn PCB30</t>
  </si>
  <si>
    <t>Chi phí giám sát lắp đặt thiết bị (Thông tư 12/2021/TT-BXD)</t>
  </si>
  <si>
    <t>hsTTDT</t>
  </si>
  <si>
    <t>M</t>
  </si>
  <si>
    <t>V00387</t>
  </si>
  <si>
    <t>Chi phí thẩm định phê duyệt thiết kế về phòng cháy và chữa cháy (Thông tư 258/2016/TT-BTC)</t>
  </si>
  <si>
    <t>N0040</t>
  </si>
  <si>
    <t xml:space="preserve">  - Nhân công bậc 3,5/7 - Nhóm 2</t>
  </si>
  <si>
    <t>Chi phí xây dựng trước thuế</t>
  </si>
  <si>
    <t>hsGxdnt</t>
  </si>
  <si>
    <t>Tổng chênh</t>
  </si>
  <si>
    <t>Chi phí lập báo cáo kinh tế - kỹ thuật (Thông tư 12/2021/TT-BXD)</t>
  </si>
  <si>
    <t>Đá 2x4</t>
  </si>
  <si>
    <t>M112.2601</t>
  </si>
  <si>
    <t>GSLD</t>
  </si>
  <si>
    <t>Chi phí kiểm toán độc lập (Thông tư 09/2016/TT-BTC)</t>
  </si>
  <si>
    <t>V42268</t>
  </si>
  <si>
    <t>TỔNG HẠNG MỤC</t>
  </si>
  <si>
    <t>Chi phí giám sát thi công xây dựng</t>
  </si>
  <si>
    <t>AF.12242</t>
  </si>
  <si>
    <t>Giá vật liệu quý 3/2021 - huyện Quan Hóa - Cụm 5: Xi măng bao Bỉm Sơn PCB40</t>
  </si>
  <si>
    <t>Chi phí xây dựng công trình chính</t>
  </si>
  <si>
    <t>- Bảng giá ca máy và thiết bị thi công ban hành kèm theo quyết định số .../....../ QĐ-UBND ngày .../....../ của UBND Tỉnh ....</t>
  </si>
  <si>
    <t>2*1,05*0,55*2 = 2,31</t>
  </si>
  <si>
    <t>Đá 4x6</t>
  </si>
  <si>
    <t>N82940</t>
  </si>
  <si>
    <t>CLM</t>
  </si>
  <si>
    <t>M104.0101</t>
  </si>
  <si>
    <t>CLVL</t>
  </si>
  <si>
    <t>Chi phí lập báo cáo kinh tế-kỹ thuật</t>
  </si>
  <si>
    <t>CHỦ ĐẦU TƯ</t>
  </si>
  <si>
    <t>- Đơn giá nhân công gốc</t>
  </si>
  <si>
    <t>Rộng</t>
  </si>
  <si>
    <t>Chi phí thẩm tra dự toán công trình (Thông tư 12/2021/TT-BXD)</t>
  </si>
  <si>
    <t>Hệ số riêng vật liệu</t>
  </si>
  <si>
    <t>Giá vật liệu quý 3/2021 - huyện Quan Hóa - Cụm 5: Thép vằn CT5, SD295A, CB300-V d10 cuộn (Công ty gang thép Thái Nguyên)</t>
  </si>
  <si>
    <t>Lắp dựng cốt thép cột, trụ, ĐK ≤18mm, chiều cao ≤28m</t>
  </si>
  <si>
    <t>Máy thi công</t>
  </si>
  <si>
    <t>Chi phí thẩm định kết quả lựa chọn nhà thầu (Nghị định 63/2014/NĐ-CP)</t>
  </si>
  <si>
    <t>5.30</t>
  </si>
  <si>
    <t>Chi phí lập hồ sơ mời quan tâm, hồ sơ mời sơ tuyển (Nghị định 63/2014/NĐ-CP)</t>
  </si>
  <si>
    <t>VLG</t>
  </si>
  <si>
    <t>CÔNG TRÌNH:</t>
  </si>
  <si>
    <t>Danh mục công tác</t>
  </si>
  <si>
    <t>- Hệ số điều chỉnh máy thi công</t>
  </si>
  <si>
    <t>(Ggpmb+Gxd+Gtb+Gqlda+Gtv+ Gk) sau thuế x tỷ lệ</t>
  </si>
  <si>
    <t>Máy vận thăng - sức nâng: 2 T</t>
  </si>
  <si>
    <t>Đinh</t>
  </si>
  <si>
    <t>%</t>
  </si>
  <si>
    <t/>
  </si>
  <si>
    <t>2. Định mức:</t>
  </si>
  <si>
    <t>36,38/1000 = 0,0364</t>
  </si>
  <si>
    <t>Mức hao phí</t>
  </si>
  <si>
    <t>1. Các văn bản:</t>
  </si>
  <si>
    <t>- Nghị định số 38/2019/NĐ-CP ngày 09/05/2019 của Chính phủ quy định mức lương cơ sở đối với cán bộ, công chức, viên chức và lực lượng vũ trang</t>
  </si>
  <si>
    <t>Gtb</t>
  </si>
  <si>
    <t>Giá vật liệu quý 3/2021 - huyện Quan Hóa - Cụm 5: Đá dăm 1x2</t>
  </si>
  <si>
    <t>Gdp</t>
  </si>
  <si>
    <t>TTDT</t>
  </si>
  <si>
    <t>Chi phí lập báo cáo nghiên cứu tiền khả thi (Thông tư 12/2021/TT-BXD)</t>
  </si>
  <si>
    <t>Xây dựng tòa nhà F1 Tech</t>
  </si>
  <si>
    <t>Khối lượng hao phí</t>
  </si>
  <si>
    <t>Chi phí kiểm tra công tác nghiệm thu công trình xây dựng (Thông tư 10/2021/TT-BXD)</t>
  </si>
  <si>
    <t>- Nghị định 10/2021/NĐ-CP ngày 09/02/2021 của Chính phủ về quản lý chi phí đầu tư xây dựng.</t>
  </si>
  <si>
    <t xml:space="preserve">II. Giá trị dự toán: </t>
  </si>
  <si>
    <t>Hệ số trực tiếp phí khác</t>
  </si>
  <si>
    <t>Đơn giá bốc xếp</t>
  </si>
  <si>
    <t>Chi phí lập nhiệm vụ khảo sát xây dựng</t>
  </si>
  <si>
    <t>NCKT12</t>
  </si>
  <si>
    <t>I</t>
  </si>
  <si>
    <t xml:space="preserve">  - Nhân công bậc 4,0/7 - Nhóm 2</t>
  </si>
  <si>
    <t>loại 1</t>
  </si>
  <si>
    <t>PCCC</t>
  </si>
  <si>
    <t>Thu nhập chịu thuế tính trước</t>
  </si>
  <si>
    <t>Chi phí thẩm tra báo cáo nghiên cứu tiền khả thi (Thông tư 12/2021/TT-BXD)</t>
  </si>
  <si>
    <t>Gxd trước thuế x tỷ lệ</t>
  </si>
  <si>
    <t>V85993</t>
  </si>
  <si>
    <t>Chi phí trực tiếp</t>
  </si>
  <si>
    <t>Hạng mục 1</t>
  </si>
  <si>
    <t>LT</t>
  </si>
  <si>
    <t>Máy đầm bê tông, đầm bàn - công suất: 1,0 kW</t>
  </si>
  <si>
    <t>- Định mức dự toán công tác dịch vụ công ích công bố kèm theo văn bản số 590, 591, 592, 593, 594/QĐ-BXD ngày 30/05/2014 của Bộ xây dựng.</t>
  </si>
  <si>
    <t>V85992</t>
  </si>
  <si>
    <t>- Định mức xây dựng công bố kèm theo Thông tư số 12/2021/TT-BXD ngày 31/08/2021 của Bộ xây dựng.</t>
  </si>
  <si>
    <t>Cấp công trình:</t>
  </si>
  <si>
    <t>Thiết kế 1 bước</t>
  </si>
  <si>
    <t>Giá trị dự toán:</t>
  </si>
  <si>
    <t>Đá dăm 1x2</t>
  </si>
  <si>
    <t>Chi phí thẩm tra, phê duyệt quyết toán vốn đầu tư</t>
  </si>
  <si>
    <t>Chi phí thẩm tra dự toán</t>
  </si>
  <si>
    <t>-------------------------</t>
  </si>
  <si>
    <t>3*1,4*1,4*1,5*1,2 = 10,584</t>
  </si>
  <si>
    <t>- Đơn giá máy thi công gốc</t>
  </si>
  <si>
    <t>Gxd</t>
  </si>
  <si>
    <t>CHI PHÍ GIÁN TIẾP</t>
  </si>
  <si>
    <t>CÁCH TÍNH</t>
  </si>
  <si>
    <t>Chi phí nhân công</t>
  </si>
  <si>
    <t>- Hệ số điều chỉnh nhân công</t>
  </si>
  <si>
    <t>Hệ số công tác</t>
  </si>
  <si>
    <t>3. Đơn giá:</t>
  </si>
  <si>
    <t>Hệ số lán trại, nhà tạm</t>
  </si>
  <si>
    <t>Cộng vật liệu phụ:</t>
  </si>
  <si>
    <t>YTTG</t>
  </si>
  <si>
    <t>Độc lập- Tự do- Hạnh phúc</t>
  </si>
  <si>
    <t>m</t>
  </si>
  <si>
    <t>Ống nhựa HDPE đường kính 140mm chiều dày 6,7mm</t>
  </si>
  <si>
    <t>Chi phí máy thi công</t>
  </si>
  <si>
    <t>Dự phòng cho yếu tố khối lượng phát sinh</t>
  </si>
  <si>
    <t>Làm tròn</t>
  </si>
  <si>
    <t>Chi phí bồi thường, hỗ trợ và tái định cư</t>
  </si>
  <si>
    <t>Chi phí vật liệu</t>
  </si>
  <si>
    <t>III</t>
  </si>
  <si>
    <t>Chi phí dự phòng</t>
  </si>
  <si>
    <t>M102.0202_TT11</t>
  </si>
  <si>
    <t>30,78*3/1000 = 0,0923</t>
  </si>
  <si>
    <t>Tỷ lệ %</t>
  </si>
  <si>
    <t>Chi phí giám sát công tác khảo sát xây dựng (Thông tư 12/2021/TT-BXD)</t>
  </si>
  <si>
    <t>BẢNG CƯỚC VẬN CHUYỂN HÀNG HOÁ ĐƯỜNG SÔNG</t>
  </si>
  <si>
    <t>Loại sông</t>
  </si>
  <si>
    <t>KSDH</t>
  </si>
  <si>
    <t>5.9</t>
  </si>
  <si>
    <t>- Nghị định số 90/2019/NĐ-CP ngày 15/11/2019 của Chính phủ quy định mức lương tối thiểu vùng đối với người lao động làm việc theo hợp đồng lao động</t>
  </si>
  <si>
    <t>Chi phí xây dựng</t>
  </si>
  <si>
    <t>M102.0406</t>
  </si>
  <si>
    <t>CPKT10</t>
  </si>
  <si>
    <t>1.1.1</t>
  </si>
  <si>
    <t>Chi phí khảo sát địa chất</t>
  </si>
  <si>
    <t>G</t>
  </si>
  <si>
    <t>LXL</t>
  </si>
  <si>
    <t>Chi phí bảo hiểm công trình (Thông tư 329/2016/TT-BTC)</t>
  </si>
  <si>
    <t>Khối lượng toàn bộ</t>
  </si>
  <si>
    <t>KÝ HIỆU</t>
  </si>
  <si>
    <t>Hệ số cấu kiện</t>
  </si>
  <si>
    <t>3*4*0,4*6,5/100 = 0,312</t>
  </si>
  <si>
    <t>V00750</t>
  </si>
  <si>
    <t>Xi măng PCB30</t>
  </si>
  <si>
    <t>Gỗ chèn</t>
  </si>
  <si>
    <t>Cát vàng</t>
  </si>
  <si>
    <t>TTDT210</t>
  </si>
  <si>
    <t>Cấp IV</t>
  </si>
  <si>
    <t>Tổng</t>
  </si>
  <si>
    <t>(2,125*0,55*1,05+0,15*1,15*2*0,5)*2 = 2,7994</t>
  </si>
  <si>
    <t>Gỗ chống</t>
  </si>
  <si>
    <t>V00772</t>
  </si>
  <si>
    <t>hsHSMT</t>
  </si>
  <si>
    <t>100m2</t>
  </si>
  <si>
    <t>Xi măng PCB40</t>
  </si>
  <si>
    <t>Chi phí thẩm tra thiết kế bản vẽ thi công</t>
  </si>
  <si>
    <t xml:space="preserve"> </t>
  </si>
  <si>
    <t>Chi phí dự phòng cho yếu tố trượt giá</t>
  </si>
  <si>
    <t>- Đơn giá xây dựng công trình phần lắp đặt ban hành kèm theo quyết định số .../....../ QĐ-UBND ngày .../....../ của UBND Tỉnh ....</t>
  </si>
  <si>
    <t>AF.61412</t>
  </si>
  <si>
    <t>5.8</t>
  </si>
  <si>
    <t>Hệ số</t>
  </si>
  <si>
    <t>THUẾ GTGT</t>
  </si>
  <si>
    <t>Chi phí thẩm định Báo cáo kinh tế - kỹ thuật  (Thông tư 12/2021/TT-BXD)</t>
  </si>
  <si>
    <t>Phí thẩm định thiết kế kỹ thuật (Thông tư 210/2016/TT- BTC)</t>
  </si>
  <si>
    <t>TKBV</t>
  </si>
  <si>
    <t>Loại vật liệu</t>
  </si>
  <si>
    <t>Số bộ phận giống nhau</t>
  </si>
  <si>
    <t>Định mức</t>
  </si>
  <si>
    <t>lít</t>
  </si>
  <si>
    <t>5.7</t>
  </si>
  <si>
    <t>Đơn vị</t>
  </si>
  <si>
    <t>Vật liệu khác</t>
  </si>
  <si>
    <t>Chi phí chuyển máy, thiết bị khảo sát</t>
  </si>
  <si>
    <t>Giá thông báo sau thuế</t>
  </si>
  <si>
    <t>Bù giá</t>
  </si>
  <si>
    <t>AF.61422</t>
  </si>
  <si>
    <t>- Chênh lệch giá vật liệu</t>
  </si>
  <si>
    <t>I. Căn cứ lập:</t>
  </si>
  <si>
    <t>Hệ số giá TB</t>
  </si>
  <si>
    <t>Chi phí bảo hiểm công trình</t>
  </si>
  <si>
    <t>m3</t>
  </si>
  <si>
    <t>HS điều chỉnh</t>
  </si>
  <si>
    <t>hsGhmc</t>
  </si>
  <si>
    <t>Máy vận thăng lồng - sức nâng: 3 T</t>
  </si>
  <si>
    <t>3*0,4*0,4*6,5 = 3,12</t>
  </si>
  <si>
    <t>V00390</t>
  </si>
  <si>
    <t>Lệ phí thẩm định dự án đầu tư (Thông tư 176/2011/TT-BTC)</t>
  </si>
  <si>
    <t>TDDA</t>
  </si>
  <si>
    <t>5.5</t>
  </si>
  <si>
    <t xml:space="preserve">Giá vật liệu quý 3/2021 - huyện Quan Hóa - Cụm 5: Thép hình Thái Nguyên CT3: L40, L=6m, 9m, 12m </t>
  </si>
  <si>
    <t>Chi phí lập phương án kỹ thuật khảo sát xây dựng</t>
  </si>
  <si>
    <t>Hệ số giảm thầu</t>
  </si>
  <si>
    <t>Đơn vị tính: đồng</t>
  </si>
  <si>
    <t>Máy trộn bê tông - dung tích: 250 lít</t>
  </si>
  <si>
    <t>Năm 2021</t>
  </si>
  <si>
    <t>Chi phí gián tiếp</t>
  </si>
  <si>
    <t>Giá thông báo</t>
  </si>
  <si>
    <t>C</t>
  </si>
  <si>
    <t>Cần trục tháp - sức nâng: 25 T</t>
  </si>
  <si>
    <t>KSDC</t>
  </si>
  <si>
    <t>TTKT</t>
  </si>
  <si>
    <t>Theo bảng tổng hợp vật liệu và chênh lệch giá</t>
  </si>
  <si>
    <t>hsVLP</t>
  </si>
  <si>
    <t>Chi phí thẩm định thiết kế (Thông tư 75/2014/TT- BTC)</t>
  </si>
  <si>
    <t>3*(33,84+53,27+9,19)/1000 = 0,2889</t>
  </si>
  <si>
    <t>hsGSTC</t>
  </si>
  <si>
    <t>HỒ SƠ DỰ TOÁN</t>
  </si>
  <si>
    <t>Chi phí thi tuyển thiết kế kiến trúc</t>
  </si>
  <si>
    <t>Dài</t>
  </si>
  <si>
    <t>Nhân công bậc 3,5/7 - Nhóm 4</t>
  </si>
  <si>
    <t>- Đơn giá vật liệu gốc</t>
  </si>
  <si>
    <t>Khí gas</t>
  </si>
  <si>
    <t>GSTC12</t>
  </si>
  <si>
    <t>Giá gốc</t>
  </si>
  <si>
    <t>hsGiamThau</t>
  </si>
  <si>
    <t>V00226</t>
  </si>
  <si>
    <t>TTDT12</t>
  </si>
  <si>
    <t>Thành tiền giá thông báo</t>
  </si>
  <si>
    <t>LTB</t>
  </si>
  <si>
    <t>GSTC</t>
  </si>
  <si>
    <t>V05209</t>
  </si>
  <si>
    <t>Gk</t>
  </si>
  <si>
    <t>- Đơn giá dịch vụ công ích ban hành kèm theo quyết định số .../....../ QĐ-UBND ngày .../....../ của UBND Tỉnh ....</t>
  </si>
  <si>
    <t>Chi phí khảo sát địa hình</t>
  </si>
  <si>
    <t>TTQT09</t>
  </si>
  <si>
    <t>V08770</t>
  </si>
  <si>
    <t>V05208</t>
  </si>
  <si>
    <t>HS điều chỉnh máy thi công</t>
  </si>
  <si>
    <t>Cước bộ</t>
  </si>
  <si>
    <t>5.4</t>
  </si>
  <si>
    <t>Chi phí lập báo cáo nghiên cứu khả thi (Thông tư 12/2021/TT-BXD)</t>
  </si>
  <si>
    <t>Chi phí đánh giá hồ sơ dự thầu, hồ sơ đề xuất (Nghị định 63/2014/NĐ-CP)</t>
  </si>
  <si>
    <t>hsBNC</t>
  </si>
  <si>
    <t>Bê tông cột SX bằng máy trộn, đổ bằng thủ công, TD &gt;0,1m2, chiều cao ≤28m, M200, đá 1x2, PCB40</t>
  </si>
  <si>
    <t>HAO PHÍ VẬT LIỆU, NHÂN CÔNG, MÁY THI CÔNG CHO CÁC CÔNG TÁC XÂY DỰNG</t>
  </si>
  <si>
    <t>Chi phí nhà tạm để ở và điều hành thi công</t>
  </si>
  <si>
    <t>II</t>
  </si>
  <si>
    <t>CỘNG HOÀ XÃ HỘI CHỦ NGHĨA VIỆT NAM</t>
  </si>
  <si>
    <t>BB.46032</t>
  </si>
  <si>
    <t>BẢNG TỔNG HỢP MÁY THI CÔNG VÀ CHÊNH LỆCH GIÁ</t>
  </si>
  <si>
    <t>hsBHCT</t>
  </si>
  <si>
    <t>5.3</t>
  </si>
  <si>
    <t>Ký hiệu bản vẽ</t>
  </si>
  <si>
    <t>2,125*0,1*2*1,05 = 0,4463</t>
  </si>
  <si>
    <t>CPXD</t>
  </si>
  <si>
    <t>V00402</t>
  </si>
  <si>
    <t>- Thông tư số 13/2021/TT-BXD ngày 31/08/2021 của Bộ Xây dựng về việc hướng dẫn phương pháp xác định các chỉ tiêu kinh tế kỹ thuật và đo bóc khối lượng công trình.</t>
  </si>
  <si>
    <t>Chi phí giám sát thi công xây dựng x tỷ lệ</t>
  </si>
  <si>
    <t>Nhân công bậc 3,5/7 - Nhóm 3</t>
  </si>
  <si>
    <t>BHCT</t>
  </si>
  <si>
    <t>223,05/1000 = 0,2231</t>
  </si>
  <si>
    <t>5.1</t>
  </si>
  <si>
    <t>Chi phí kiểm toán độc lập (Thông tư 10/2020/TT-BTC)</t>
  </si>
  <si>
    <t>hsTT</t>
  </si>
  <si>
    <t>Nhân công bậc 3,5/7 - Nhóm 2</t>
  </si>
  <si>
    <t>V00010</t>
  </si>
  <si>
    <t>Đơn giá loại sông 1</t>
  </si>
  <si>
    <t>Số lần bốc xếp</t>
  </si>
  <si>
    <t>TTTKT12</t>
  </si>
  <si>
    <t>Phí thẩm định dự toán xây dựng (Thông tư 210/2016/TT- BTC)</t>
  </si>
  <si>
    <t>GIÁM ĐỐC</t>
  </si>
  <si>
    <t>Chi phí chung</t>
  </si>
  <si>
    <t>- Chênh lệch giá máy thi công</t>
  </si>
  <si>
    <t>7.2</t>
  </si>
  <si>
    <t xml:space="preserve">  - Nhân công bậc 3,0/7 - Nhóm 2</t>
  </si>
  <si>
    <t>Cước sông</t>
  </si>
  <si>
    <t>Thép tròn Fi ≤10mm</t>
  </si>
  <si>
    <t>Chi phí kiểm toán</t>
  </si>
  <si>
    <t>7.1</t>
  </si>
  <si>
    <t>TT</t>
  </si>
  <si>
    <t>Loại công trình:</t>
  </si>
  <si>
    <t>V05607</t>
  </si>
  <si>
    <t xml:space="preserve">  - Nhân công bậc 3,0/7 - Nhóm 1</t>
  </si>
  <si>
    <t>QLDA12</t>
  </si>
  <si>
    <t>Giá vật liệu quý 3/2021 - huyện Quan Hóa - Cụm 5: Thép buộc 1 ly đen</t>
  </si>
  <si>
    <t>chai</t>
  </si>
  <si>
    <t>hsCPKT</t>
  </si>
  <si>
    <t>3*1,4*1,4*0,1 = 0,588</t>
  </si>
  <si>
    <t>BẢNG TỔNG HỢP VẬT LIỆU VÀ CHÊNH LỆCH GIÁ</t>
  </si>
  <si>
    <t>Công ty cổ phần F1 Tech</t>
  </si>
  <si>
    <t>Đơn vị: đồng</t>
  </si>
  <si>
    <t>Gxdct</t>
  </si>
  <si>
    <t>Khu đô thị Xala, Hà Đông, Hà Nội</t>
  </si>
  <si>
    <t>Chi phí xây dựng sau thuế</t>
  </si>
  <si>
    <t>Tổng cước ôtô</t>
  </si>
  <si>
    <t>cái</t>
  </si>
  <si>
    <t>Chi phí thẩm định dự toán (Thông tư 75/2014/TT- BTC)</t>
  </si>
  <si>
    <t>TH_2021_QD_366_LD</t>
  </si>
  <si>
    <t>TTTKXD12</t>
  </si>
  <si>
    <t>(Căn cứ theo Thông tư 12/2021/TT-BXD ngày 31 tháng 8 năm 2021)</t>
  </si>
  <si>
    <t>Chi phí thiết kế kỹ thuật (Thông tư 12/2021/TT-BXD)</t>
  </si>
  <si>
    <t>CPKT</t>
  </si>
  <si>
    <t>Hệ số vật tư</t>
  </si>
  <si>
    <t>3*1,2*1,2*1,4 = 6,048</t>
  </si>
  <si>
    <t>Giá vật liệu quý 3/2021 - huyện Quan Hóa - Cụm 5: Ống nhựa HDPE PE100 DN140 PN8 Tiền Phong</t>
  </si>
  <si>
    <t>hsQLDA</t>
  </si>
  <si>
    <t>hsTTQT</t>
  </si>
  <si>
    <t>Lắp dựng cốt thép cột, trụ, ĐK ≤10mm, chiều cao ≤28m</t>
  </si>
  <si>
    <t xml:space="preserve">Máy cắt uốn cốt thép - công suất: 5 kW </t>
  </si>
  <si>
    <t>TTDT75</t>
  </si>
  <si>
    <t>hsBCKTKT</t>
  </si>
  <si>
    <t>Mã chi phí</t>
  </si>
  <si>
    <t>STT</t>
  </si>
  <si>
    <t>Chi phí thẩm tra, phê duyệt quyết toán (Thông tư 09/2016/TT-BTC)</t>
  </si>
  <si>
    <t>Cự ly (Km)</t>
  </si>
  <si>
    <t>Thép hình</t>
  </si>
  <si>
    <t>M112.4002_TT11</t>
  </si>
  <si>
    <t>Gtv</t>
  </si>
  <si>
    <t>Chi phí thẩm tra dự toán gói thầu (Thông tư 12/2021/TT-BXD)</t>
  </si>
  <si>
    <t>QLDA</t>
  </si>
  <si>
    <t>Cần cẩu bánh hơi - sức nâng: 16 T</t>
  </si>
  <si>
    <t>HẠNG MỤC: Hạng mục 1</t>
  </si>
  <si>
    <t>Chi phí lập hồ sơ mời thầu, đánh giá hồ sơ dự thầu thi công xây dựng (Thông tư 12/2021/TT-BXD)</t>
  </si>
  <si>
    <t>BẢNG TỔNG HỢP DỰ TOÁN HẠNG MỤC</t>
  </si>
  <si>
    <t>Nhân công bậc 4,0/7 - Nhóm 2</t>
  </si>
  <si>
    <t>Bê tông lót móng SX bằng máy trộn, đổ bằng thủ công, rộng ≤250cm, M100, đá 4x6, PCB30</t>
  </si>
  <si>
    <t>Chi phí thẩm tra Báo cáo kinh tế - kỹ thuật (Thông tư 12/2021/TT-BXD)</t>
  </si>
  <si>
    <t>Chi phí rà phá bom mìn, vật nổ</t>
  </si>
  <si>
    <t>Chi phí thẩm định hồ sơ mời quan tâm, hồ sơ mời sơ tuyển (Nghị định 63/2014/NĐ-CP)</t>
  </si>
  <si>
    <t>BẢNG TỔNG HỢP TỔNG MỨC ĐẦU TƯ XÂY DỰNG</t>
  </si>
  <si>
    <t>Thép tròn</t>
  </si>
  <si>
    <t>V05605</t>
  </si>
  <si>
    <t>Chi phí cho Hội đồng tư vấn giải quyết kiến nghị của nhà thầu về kết quả lựa chọn nhà thầu (Nghị định 63/2014/NĐ-CP)</t>
  </si>
  <si>
    <t>Chi phí chung theo chi phí trực tiếp</t>
  </si>
  <si>
    <t>Bê tông móng, mố, trụ trên cạn SX bằng máy trộn, đổ bằng thủ công, bê tông M200, đá 1x2, PCB40</t>
  </si>
  <si>
    <t>Ván khuôn móng cột - Móng vuông, chữ nhật</t>
  </si>
  <si>
    <t>V00656</t>
  </si>
  <si>
    <t>WWW.DUTOANF1.COM</t>
  </si>
  <si>
    <t>V00811</t>
  </si>
  <si>
    <t>Lắp vì kèo thép khẩu độ ≤18m</t>
  </si>
  <si>
    <t>MG</t>
  </si>
  <si>
    <t>TT Vật tư</t>
  </si>
  <si>
    <t>Lập báo cáo kết quả khảo sát xây dựng</t>
  </si>
  <si>
    <t>TKKT12</t>
  </si>
  <si>
    <t>Công trình thủy lợi (Nông nghiệp và PT nông thôn)</t>
  </si>
  <si>
    <t>M108.0302_TT11</t>
  </si>
  <si>
    <t>Mã hiệu công tác</t>
  </si>
  <si>
    <t>TTQT</t>
  </si>
  <si>
    <t>Tổng cước sông</t>
  </si>
  <si>
    <t>Trọng lượng đơn vị (tấn)</t>
  </si>
  <si>
    <t>hsGlpa</t>
  </si>
  <si>
    <t>Công trình: Sửa chữa nâng cấp mương suối Tú, bản Chại, xã Hiền Chung, huyện Quan Hóa, tỉnh Thanh Hóa</t>
  </si>
  <si>
    <t>( Kèm theo Quyết định số           /QĐ-UBND ngày      tháng 12 năm 2021 của UBND huyện Quan Hóa)</t>
  </si>
  <si>
    <t>Bằng chữ: Chín mươi triệu đồng./.</t>
  </si>
  <si>
    <t>Tổng mức đầu tư  x tỷ lệ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</si>
</sst>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#,##0.0000"/>
    <numFmt numFmtId="174" formatCode="#,##0.000"/>
    <numFmt numFmtId="175" formatCode="#,##0.000%"/>
    <numFmt numFmtId="176" formatCode="0.000%"/>
    <numFmt numFmtId="177" formatCode="0.0%"/>
    <numFmt numFmtId="178" formatCode="#,###"/>
  </numFmts>
  <fonts count="75">
    <font>
      <sz val="11"/>
      <color theme="1"/>
      <name val="Calibri"/>
      <family val="2"/>
    </font>
    <font>
      <sz val="11"/>
      <name val="Calibri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2"/>
    </font>
    <font>
      <sz val="11"/>
      <color indexed="12"/>
      <name val="Times New Roman"/>
      <family val="2"/>
    </font>
    <font>
      <sz val="11"/>
      <color indexed="8"/>
      <name val="Times New Roman"/>
      <family val="2"/>
    </font>
    <font>
      <b/>
      <sz val="11"/>
      <color indexed="12"/>
      <name val="Times New Roman"/>
      <family val="2"/>
    </font>
    <font>
      <b/>
      <i/>
      <sz val="11"/>
      <color indexed="12"/>
      <name val="Times New Roman"/>
      <family val="2"/>
    </font>
    <font>
      <sz val="11"/>
      <color indexed="23"/>
      <name val="Times New Roman"/>
      <family val="2"/>
    </font>
    <font>
      <b/>
      <i/>
      <sz val="14"/>
      <color indexed="8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1"/>
      <color indexed="23"/>
      <name val="Times New Roman"/>
      <family val="2"/>
    </font>
    <font>
      <b/>
      <sz val="15"/>
      <color indexed="8"/>
      <name val="Times New Roman"/>
      <family val="2"/>
    </font>
    <font>
      <i/>
      <sz val="11"/>
      <color indexed="8"/>
      <name val="Times New Roman"/>
      <family val="2"/>
    </font>
    <font>
      <b/>
      <i/>
      <sz val="11"/>
      <color indexed="8"/>
      <name val="Times New Roman"/>
      <family val="2"/>
    </font>
    <font>
      <b/>
      <sz val="20"/>
      <color indexed="8"/>
      <name val="Times New Roman"/>
      <family val="2"/>
    </font>
    <font>
      <b/>
      <sz val="24"/>
      <color indexed="8"/>
      <name val="Times New Roman"/>
      <family val="2"/>
    </font>
    <font>
      <sz val="12"/>
      <color indexed="8"/>
      <name val="Times New Roman"/>
      <family val="2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2"/>
    </font>
    <font>
      <sz val="11"/>
      <color rgb="FF0000FF"/>
      <name val="Times New Roman"/>
      <family val="2"/>
    </font>
    <font>
      <sz val="11"/>
      <color rgb="FF000000"/>
      <name val="Times New Roman"/>
      <family val="2"/>
    </font>
    <font>
      <b/>
      <sz val="11"/>
      <color rgb="FF0000FF"/>
      <name val="Times New Roman"/>
      <family val="2"/>
    </font>
    <font>
      <b/>
      <i/>
      <sz val="11"/>
      <color rgb="FF0000FF"/>
      <name val="Times New Roman"/>
      <family val="2"/>
    </font>
    <font>
      <sz val="11"/>
      <color rgb="FF808080"/>
      <name val="Times New Roman"/>
      <family val="2"/>
    </font>
    <font>
      <sz val="11"/>
      <color theme="1"/>
      <name val="Times New Roman"/>
      <family val="2"/>
    </font>
    <font>
      <b/>
      <i/>
      <sz val="14"/>
      <color rgb="FF000000"/>
      <name val="Times New Roman"/>
      <family val="2"/>
    </font>
    <font>
      <sz val="14"/>
      <color rgb="FF000000"/>
      <name val="Times New Roman"/>
      <family val="2"/>
    </font>
    <font>
      <b/>
      <sz val="14"/>
      <color rgb="FF000000"/>
      <name val="Times New Roman"/>
      <family val="2"/>
    </font>
    <font>
      <b/>
      <sz val="12"/>
      <color theme="1"/>
      <name val="Times New Roman"/>
      <family val="2"/>
    </font>
    <font>
      <b/>
      <sz val="15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1"/>
      <color rgb="FF808080"/>
      <name val="Times New Roman"/>
      <family val="2"/>
    </font>
    <font>
      <i/>
      <sz val="11"/>
      <color rgb="FF000000"/>
      <name val="Times New Roman"/>
      <family val="2"/>
    </font>
    <font>
      <b/>
      <i/>
      <sz val="11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20"/>
      <color rgb="FF000000"/>
      <name val="Times New Roman"/>
      <family val="2"/>
    </font>
    <font>
      <b/>
      <sz val="24"/>
      <color rgb="FF000000"/>
      <name val="Times New Roman"/>
      <family val="2"/>
    </font>
    <font>
      <sz val="12"/>
      <color rgb="FF000000"/>
      <name val="Times New Roman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F2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FFFF8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3" fontId="54" fillId="0" borderId="10" xfId="0" applyNumberFormat="1" applyFont="1" applyBorder="1" applyAlignment="1">
      <alignment horizontal="right" vertical="top" wrapText="1"/>
    </xf>
    <xf numFmtId="3" fontId="55" fillId="0" borderId="11" xfId="0" applyNumberFormat="1" applyFont="1" applyBorder="1" applyAlignment="1">
      <alignment horizontal="right" vertical="top" wrapText="1"/>
    </xf>
    <xf numFmtId="0" fontId="56" fillId="0" borderId="12" xfId="0" applyFont="1" applyBorder="1" applyAlignment="1">
      <alignment horizontal="center" vertical="top" wrapText="1"/>
    </xf>
    <xf numFmtId="10" fontId="56" fillId="0" borderId="13" xfId="0" applyNumberFormat="1" applyFont="1" applyBorder="1" applyAlignment="1">
      <alignment horizontal="right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right" vertical="top" wrapText="1"/>
    </xf>
    <xf numFmtId="0" fontId="57" fillId="0" borderId="14" xfId="0" applyFont="1" applyBorder="1" applyAlignment="1">
      <alignment horizontal="center" vertical="top" wrapText="1"/>
    </xf>
    <xf numFmtId="3" fontId="56" fillId="34" borderId="11" xfId="0" applyNumberFormat="1" applyFont="1" applyFill="1" applyBorder="1" applyAlignment="1">
      <alignment horizontal="right" vertical="top" wrapText="1"/>
    </xf>
    <xf numFmtId="49" fontId="56" fillId="0" borderId="13" xfId="0" applyNumberFormat="1" applyFont="1" applyBorder="1" applyAlignment="1">
      <alignment horizontal="left" vertical="top" wrapText="1"/>
    </xf>
    <xf numFmtId="0" fontId="56" fillId="34" borderId="11" xfId="0" applyFont="1" applyFill="1" applyBorder="1" applyAlignment="1">
      <alignment horizontal="left" vertical="top" wrapText="1"/>
    </xf>
    <xf numFmtId="172" fontId="54" fillId="0" borderId="11" xfId="0" applyNumberFormat="1" applyFont="1" applyBorder="1" applyAlignment="1">
      <alignment horizontal="center" vertical="top" wrapText="1"/>
    </xf>
    <xf numFmtId="0" fontId="56" fillId="0" borderId="11" xfId="0" applyFont="1" applyBorder="1" applyAlignment="1">
      <alignment horizontal="right" vertical="top" wrapText="1"/>
    </xf>
    <xf numFmtId="0" fontId="55" fillId="0" borderId="13" xfId="0" applyFont="1" applyBorder="1" applyAlignment="1">
      <alignment horizontal="right" vertical="top" wrapText="1"/>
    </xf>
    <xf numFmtId="173" fontId="58" fillId="0" borderId="13" xfId="0" applyNumberFormat="1" applyFont="1" applyBorder="1" applyAlignment="1">
      <alignment horizontal="right" vertical="top" wrapText="1"/>
    </xf>
    <xf numFmtId="0" fontId="56" fillId="34" borderId="13" xfId="0" applyFont="1" applyFill="1" applyBorder="1" applyAlignment="1">
      <alignment horizontal="right" vertical="top" wrapText="1"/>
    </xf>
    <xf numFmtId="0" fontId="56" fillId="0" borderId="14" xfId="0" applyFont="1" applyBorder="1" applyAlignment="1">
      <alignment horizontal="right" vertical="top" wrapText="1"/>
    </xf>
    <xf numFmtId="175" fontId="56" fillId="0" borderId="10" xfId="0" applyNumberFormat="1" applyFont="1" applyBorder="1" applyAlignment="1">
      <alignment horizontal="right" vertical="top" wrapText="1"/>
    </xf>
    <xf numFmtId="0" fontId="54" fillId="0" borderId="11" xfId="0" applyFont="1" applyBorder="1" applyAlignment="1">
      <alignment horizontal="center" vertical="top" wrapText="1"/>
    </xf>
    <xf numFmtId="173" fontId="56" fillId="0" borderId="13" xfId="0" applyNumberFormat="1" applyFont="1" applyBorder="1" applyAlignment="1">
      <alignment horizontal="right" vertical="top" wrapText="1"/>
    </xf>
    <xf numFmtId="0" fontId="59" fillId="0" borderId="10" xfId="0" applyFont="1" applyBorder="1" applyAlignment="1">
      <alignment horizontal="left" vertical="top"/>
    </xf>
    <xf numFmtId="0" fontId="54" fillId="0" borderId="14" xfId="0" applyFont="1" applyBorder="1" applyAlignment="1">
      <alignment horizontal="center" vertical="top" wrapText="1"/>
    </xf>
    <xf numFmtId="3" fontId="55" fillId="0" borderId="10" xfId="0" applyNumberFormat="1" applyFont="1" applyBorder="1" applyAlignment="1">
      <alignment horizontal="right" vertical="top" wrapText="1"/>
    </xf>
    <xf numFmtId="3" fontId="56" fillId="34" borderId="10" xfId="0" applyNumberFormat="1" applyFont="1" applyFill="1" applyBorder="1" applyAlignment="1">
      <alignment horizontal="right" vertical="top" wrapText="1"/>
    </xf>
    <xf numFmtId="0" fontId="55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right" vertical="top" wrapText="1"/>
    </xf>
    <xf numFmtId="0" fontId="56" fillId="34" borderId="10" xfId="0" applyFont="1" applyFill="1" applyBorder="1" applyAlignment="1">
      <alignment horizontal="left" vertical="top" wrapText="1"/>
    </xf>
    <xf numFmtId="9" fontId="60" fillId="0" borderId="0" xfId="0" applyNumberFormat="1" applyFont="1" applyAlignment="1">
      <alignment/>
    </xf>
    <xf numFmtId="172" fontId="54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right" vertical="top" wrapText="1"/>
    </xf>
    <xf numFmtId="0" fontId="54" fillId="0" borderId="0" xfId="0" applyFont="1" applyAlignment="1">
      <alignment horizontal="center" vertical="top" wrapText="1"/>
    </xf>
    <xf numFmtId="0" fontId="56" fillId="35" borderId="13" xfId="0" applyFont="1" applyFill="1" applyBorder="1" applyAlignment="1">
      <alignment horizontal="left" vertical="top" wrapText="1"/>
    </xf>
    <xf numFmtId="175" fontId="54" fillId="0" borderId="11" xfId="0" applyNumberFormat="1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top" wrapText="1"/>
    </xf>
    <xf numFmtId="173" fontId="54" fillId="33" borderId="14" xfId="0" applyNumberFormat="1" applyFont="1" applyFill="1" applyBorder="1" applyAlignment="1">
      <alignment horizontal="center" vertical="top" wrapText="1"/>
    </xf>
    <xf numFmtId="174" fontId="54" fillId="33" borderId="14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174" fontId="56" fillId="0" borderId="11" xfId="0" applyNumberFormat="1" applyFont="1" applyBorder="1" applyAlignment="1">
      <alignment horizontal="right" vertical="top" wrapText="1"/>
    </xf>
    <xf numFmtId="0" fontId="62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right" vertical="top" wrapText="1"/>
    </xf>
    <xf numFmtId="174" fontId="55" fillId="0" borderId="13" xfId="0" applyNumberFormat="1" applyFont="1" applyBorder="1" applyAlignment="1">
      <alignment horizontal="right" vertical="top" wrapText="1"/>
    </xf>
    <xf numFmtId="0" fontId="56" fillId="0" borderId="14" xfId="0" applyFont="1" applyBorder="1" applyAlignment="1">
      <alignment horizontal="right" vertical="center" wrapText="1"/>
    </xf>
    <xf numFmtId="3" fontId="56" fillId="0" borderId="13" xfId="0" applyNumberFormat="1" applyFont="1" applyBorder="1" applyAlignment="1">
      <alignment horizontal="right" vertical="top" wrapText="1"/>
    </xf>
    <xf numFmtId="174" fontId="56" fillId="0" borderId="14" xfId="0" applyNumberFormat="1" applyFont="1" applyBorder="1" applyAlignment="1">
      <alignment horizontal="right" vertical="top" wrapText="1"/>
    </xf>
    <xf numFmtId="0" fontId="54" fillId="0" borderId="14" xfId="0" applyFont="1" applyBorder="1" applyAlignment="1">
      <alignment horizontal="right" vertical="top" wrapText="1"/>
    </xf>
    <xf numFmtId="0" fontId="56" fillId="0" borderId="13" xfId="0" applyFont="1" applyBorder="1" applyAlignment="1">
      <alignment horizontal="left" vertical="top" wrapText="1"/>
    </xf>
    <xf numFmtId="176" fontId="56" fillId="0" borderId="13" xfId="0" applyNumberFormat="1" applyFont="1" applyBorder="1" applyAlignment="1">
      <alignment horizontal="right" vertical="top" wrapText="1"/>
    </xf>
    <xf numFmtId="0" fontId="56" fillId="0" borderId="0" xfId="0" applyFont="1" applyAlignment="1">
      <alignment horizontal="right" vertical="center" wrapText="1"/>
    </xf>
    <xf numFmtId="178" fontId="61" fillId="0" borderId="0" xfId="0" applyNumberFormat="1" applyFont="1" applyAlignment="1">
      <alignment horizontal="right" vertical="top" wrapText="1"/>
    </xf>
    <xf numFmtId="178" fontId="56" fillId="0" borderId="13" xfId="0" applyNumberFormat="1" applyFont="1" applyBorder="1" applyAlignment="1">
      <alignment horizontal="right" vertical="top" wrapText="1"/>
    </xf>
    <xf numFmtId="49" fontId="56" fillId="0" borderId="11" xfId="0" applyNumberFormat="1" applyFont="1" applyBorder="1" applyAlignment="1">
      <alignment horizontal="left" vertical="top" wrapText="1"/>
    </xf>
    <xf numFmtId="174" fontId="56" fillId="0" borderId="10" xfId="0" applyNumberFormat="1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center" wrapText="1"/>
    </xf>
    <xf numFmtId="173" fontId="54" fillId="33" borderId="14" xfId="0" applyNumberFormat="1" applyFont="1" applyFill="1" applyBorder="1" applyAlignment="1">
      <alignment horizontal="center" vertical="center" wrapText="1"/>
    </xf>
    <xf numFmtId="3" fontId="54" fillId="33" borderId="14" xfId="0" applyNumberFormat="1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right" vertical="top" wrapText="1"/>
    </xf>
    <xf numFmtId="172" fontId="58" fillId="0" borderId="13" xfId="0" applyNumberFormat="1" applyFont="1" applyBorder="1" applyAlignment="1">
      <alignment horizontal="center" vertical="top" wrapText="1"/>
    </xf>
    <xf numFmtId="0" fontId="56" fillId="34" borderId="11" xfId="0" applyFont="1" applyFill="1" applyBorder="1" applyAlignment="1">
      <alignment horizontal="right" vertical="top" wrapText="1"/>
    </xf>
    <xf numFmtId="173" fontId="56" fillId="0" borderId="11" xfId="0" applyNumberFormat="1" applyFont="1" applyBorder="1" applyAlignment="1">
      <alignment horizontal="right" vertical="top" wrapText="1"/>
    </xf>
    <xf numFmtId="172" fontId="56" fillId="0" borderId="13" xfId="0" applyNumberFormat="1" applyFont="1" applyBorder="1" applyAlignment="1">
      <alignment horizontal="center" vertical="top" wrapText="1"/>
    </xf>
    <xf numFmtId="9" fontId="56" fillId="0" borderId="13" xfId="0" applyNumberFormat="1" applyFont="1" applyBorder="1" applyAlignment="1">
      <alignment horizontal="center" vertical="top" wrapText="1"/>
    </xf>
    <xf numFmtId="173" fontId="55" fillId="0" borderId="13" xfId="0" applyNumberFormat="1" applyFont="1" applyBorder="1" applyAlignment="1">
      <alignment horizontal="right" vertical="top" wrapText="1"/>
    </xf>
    <xf numFmtId="0" fontId="58" fillId="0" borderId="13" xfId="0" applyFont="1" applyBorder="1" applyAlignment="1">
      <alignment horizontal="center" vertical="top" wrapText="1"/>
    </xf>
    <xf numFmtId="49" fontId="56" fillId="0" borderId="0" xfId="0" applyNumberFormat="1" applyFont="1" applyAlignment="1">
      <alignment horizontal="left" vertical="top" wrapText="1"/>
    </xf>
    <xf numFmtId="173" fontId="56" fillId="0" borderId="14" xfId="0" applyNumberFormat="1" applyFont="1" applyBorder="1" applyAlignment="1">
      <alignment horizontal="right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wrapText="1"/>
    </xf>
    <xf numFmtId="10" fontId="60" fillId="0" borderId="0" xfId="0" applyNumberFormat="1" applyFont="1" applyAlignment="1">
      <alignment/>
    </xf>
    <xf numFmtId="3" fontId="54" fillId="0" borderId="13" xfId="0" applyNumberFormat="1" applyFont="1" applyBorder="1" applyAlignment="1">
      <alignment horizontal="right" vertical="top" wrapText="1"/>
    </xf>
    <xf numFmtId="49" fontId="54" fillId="33" borderId="14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right" vertical="top" wrapText="1"/>
    </xf>
    <xf numFmtId="0" fontId="54" fillId="0" borderId="13" xfId="0" applyFont="1" applyBorder="1" applyAlignment="1">
      <alignment horizontal="left" vertical="top" wrapText="1"/>
    </xf>
    <xf numFmtId="0" fontId="56" fillId="34" borderId="10" xfId="0" applyFont="1" applyFill="1" applyBorder="1" applyAlignment="1">
      <alignment horizontal="right" vertical="top" wrapText="1"/>
    </xf>
    <xf numFmtId="49" fontId="57" fillId="0" borderId="14" xfId="0" applyNumberFormat="1" applyFont="1" applyBorder="1" applyAlignment="1">
      <alignment horizontal="left" vertical="top" wrapText="1"/>
    </xf>
    <xf numFmtId="176" fontId="54" fillId="0" borderId="13" xfId="0" applyNumberFormat="1" applyFont="1" applyBorder="1" applyAlignment="1">
      <alignment horizontal="right" vertical="top" wrapText="1"/>
    </xf>
    <xf numFmtId="173" fontId="56" fillId="0" borderId="10" xfId="0" applyNumberFormat="1" applyFont="1" applyBorder="1" applyAlignment="1">
      <alignment horizontal="right" vertical="top" wrapText="1"/>
    </xf>
    <xf numFmtId="0" fontId="63" fillId="0" borderId="0" xfId="0" applyFont="1" applyAlignment="1">
      <alignment horizontal="left" vertical="top" wrapText="1"/>
    </xf>
    <xf numFmtId="0" fontId="56" fillId="0" borderId="14" xfId="0" applyFont="1" applyBorder="1" applyAlignment="1">
      <alignment horizontal="left" vertical="top"/>
    </xf>
    <xf numFmtId="3" fontId="54" fillId="33" borderId="14" xfId="0" applyNumberFormat="1" applyFont="1" applyFill="1" applyBorder="1" applyAlignment="1">
      <alignment horizontal="center" vertical="center" wrapText="1"/>
    </xf>
    <xf numFmtId="177" fontId="56" fillId="0" borderId="13" xfId="0" applyNumberFormat="1" applyFont="1" applyBorder="1" applyAlignment="1">
      <alignment horizontal="right" vertical="top" wrapText="1"/>
    </xf>
    <xf numFmtId="173" fontId="57" fillId="0" borderId="14" xfId="0" applyNumberFormat="1" applyFont="1" applyBorder="1" applyAlignment="1">
      <alignment horizontal="right" vertical="top" wrapText="1"/>
    </xf>
    <xf numFmtId="175" fontId="56" fillId="0" borderId="13" xfId="0" applyNumberFormat="1" applyFont="1" applyBorder="1" applyAlignment="1">
      <alignment horizontal="right" vertical="top" wrapText="1"/>
    </xf>
    <xf numFmtId="0" fontId="59" fillId="0" borderId="13" xfId="0" applyFont="1" applyBorder="1" applyAlignment="1">
      <alignment horizontal="left" vertical="top"/>
    </xf>
    <xf numFmtId="9" fontId="56" fillId="0" borderId="13" xfId="0" applyNumberFormat="1" applyFont="1" applyBorder="1" applyAlignment="1">
      <alignment horizontal="right" vertical="top" wrapText="1"/>
    </xf>
    <xf numFmtId="3" fontId="56" fillId="0" borderId="11" xfId="0" applyNumberFormat="1" applyFont="1" applyBorder="1" applyAlignment="1">
      <alignment horizontal="right" vertical="top" wrapText="1"/>
    </xf>
    <xf numFmtId="0" fontId="58" fillId="0" borderId="13" xfId="0" applyFont="1" applyBorder="1" applyAlignment="1">
      <alignment horizontal="right" vertical="top" wrapText="1"/>
    </xf>
    <xf numFmtId="3" fontId="55" fillId="0" borderId="13" xfId="0" applyNumberFormat="1" applyFont="1" applyBorder="1" applyAlignment="1">
      <alignment horizontal="right" vertical="top" wrapText="1"/>
    </xf>
    <xf numFmtId="0" fontId="56" fillId="0" borderId="11" xfId="0" applyFont="1" applyBorder="1" applyAlignment="1">
      <alignment horizontal="left" vertical="top" wrapText="1"/>
    </xf>
    <xf numFmtId="3" fontId="56" fillId="34" borderId="13" xfId="0" applyNumberFormat="1" applyFont="1" applyFill="1" applyBorder="1" applyAlignment="1">
      <alignment horizontal="right" vertical="top" wrapText="1"/>
    </xf>
    <xf numFmtId="0" fontId="56" fillId="0" borderId="0" xfId="0" applyFont="1" applyAlignment="1">
      <alignment horizontal="left" vertical="top"/>
    </xf>
    <xf numFmtId="0" fontId="55" fillId="0" borderId="13" xfId="0" applyFont="1" applyBorder="1" applyAlignment="1">
      <alignment horizontal="left" vertical="top" wrapText="1"/>
    </xf>
    <xf numFmtId="0" fontId="56" fillId="34" borderId="13" xfId="0" applyFont="1" applyFill="1" applyBorder="1" applyAlignment="1">
      <alignment horizontal="left" vertical="top" wrapText="1"/>
    </xf>
    <xf numFmtId="3" fontId="56" fillId="0" borderId="14" xfId="0" applyNumberFormat="1" applyFont="1" applyBorder="1" applyAlignment="1">
      <alignment horizontal="right" vertical="top" wrapText="1"/>
    </xf>
    <xf numFmtId="173" fontId="54" fillId="0" borderId="11" xfId="0" applyNumberFormat="1" applyFont="1" applyBorder="1" applyAlignment="1">
      <alignment horizontal="right" vertical="top" wrapText="1"/>
    </xf>
    <xf numFmtId="172" fontId="54" fillId="0" borderId="13" xfId="0" applyNumberFormat="1" applyFont="1" applyBorder="1" applyAlignment="1">
      <alignment horizontal="center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right" vertical="top" wrapText="1"/>
    </xf>
    <xf numFmtId="0" fontId="55" fillId="0" borderId="10" xfId="0" applyFont="1" applyBorder="1" applyAlignment="1">
      <alignment horizontal="right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3" fontId="56" fillId="0" borderId="10" xfId="0" applyNumberFormat="1" applyFont="1" applyBorder="1" applyAlignment="1">
      <alignment horizontal="right" vertical="top" wrapText="1"/>
    </xf>
    <xf numFmtId="172" fontId="54" fillId="33" borderId="14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3" fontId="57" fillId="0" borderId="14" xfId="0" applyNumberFormat="1" applyFont="1" applyBorder="1" applyAlignment="1">
      <alignment horizontal="right" vertical="top" wrapText="1"/>
    </xf>
    <xf numFmtId="172" fontId="56" fillId="0" borderId="11" xfId="0" applyNumberFormat="1" applyFont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7" fillId="0" borderId="14" xfId="0" applyFont="1" applyBorder="1" applyAlignment="1">
      <alignment horizontal="left" vertical="top" wrapText="1"/>
    </xf>
    <xf numFmtId="175" fontId="54" fillId="0" borderId="13" xfId="0" applyNumberFormat="1" applyFont="1" applyBorder="1" applyAlignment="1">
      <alignment horizontal="right" vertical="top" wrapText="1"/>
    </xf>
    <xf numFmtId="172" fontId="56" fillId="0" borderId="14" xfId="0" applyNumberFormat="1" applyFont="1" applyBorder="1" applyAlignment="1">
      <alignment horizontal="center" vertical="top" wrapText="1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top" wrapText="1"/>
    </xf>
    <xf numFmtId="3" fontId="54" fillId="0" borderId="11" xfId="0" applyNumberFormat="1" applyFont="1" applyBorder="1" applyAlignment="1">
      <alignment horizontal="right" vertical="top" wrapText="1"/>
    </xf>
    <xf numFmtId="0" fontId="56" fillId="0" borderId="13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left" vertical="top" wrapText="1"/>
    </xf>
    <xf numFmtId="0" fontId="56" fillId="0" borderId="14" xfId="0" applyFont="1" applyBorder="1" applyAlignment="1">
      <alignment wrapText="1"/>
    </xf>
    <xf numFmtId="0" fontId="56" fillId="0" borderId="14" xfId="0" applyFont="1" applyBorder="1" applyAlignment="1">
      <alignment horizontal="center" vertical="top" wrapText="1"/>
    </xf>
    <xf numFmtId="3" fontId="54" fillId="0" borderId="14" xfId="0" applyNumberFormat="1" applyFont="1" applyBorder="1" applyAlignment="1">
      <alignment horizontal="right" vertical="top" wrapText="1"/>
    </xf>
    <xf numFmtId="0" fontId="64" fillId="0" borderId="0" xfId="0" applyFont="1" applyAlignment="1">
      <alignment/>
    </xf>
    <xf numFmtId="174" fontId="56" fillId="0" borderId="13" xfId="0" applyNumberFormat="1" applyFont="1" applyBorder="1" applyAlignment="1">
      <alignment horizontal="right" vertical="top" wrapText="1"/>
    </xf>
    <xf numFmtId="0" fontId="54" fillId="0" borderId="13" xfId="0" applyFont="1" applyBorder="1" applyAlignment="1">
      <alignment horizontal="right" vertical="top" wrapText="1"/>
    </xf>
    <xf numFmtId="173" fontId="55" fillId="0" borderId="10" xfId="0" applyNumberFormat="1" applyFont="1" applyBorder="1" applyAlignment="1">
      <alignment horizontal="right" vertical="top" wrapText="1"/>
    </xf>
    <xf numFmtId="172" fontId="56" fillId="0" borderId="10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5" fillId="0" borderId="14" xfId="0" applyFont="1" applyBorder="1" applyAlignment="1">
      <alignment horizontal="left" vertical="top"/>
    </xf>
    <xf numFmtId="0" fontId="60" fillId="0" borderId="0" xfId="0" applyFont="1" applyAlignment="1">
      <alignment/>
    </xf>
    <xf numFmtId="9" fontId="54" fillId="33" borderId="14" xfId="0" applyNumberFormat="1" applyFont="1" applyFill="1" applyBorder="1" applyAlignment="1">
      <alignment horizontal="center" vertical="center" wrapText="1"/>
    </xf>
    <xf numFmtId="172" fontId="54" fillId="33" borderId="14" xfId="0" applyNumberFormat="1" applyFont="1" applyFill="1" applyBorder="1" applyAlignment="1">
      <alignment horizontal="center" vertical="center" wrapText="1"/>
    </xf>
    <xf numFmtId="172" fontId="57" fillId="0" borderId="14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wrapText="1"/>
    </xf>
    <xf numFmtId="0" fontId="59" fillId="0" borderId="11" xfId="0" applyFont="1" applyBorder="1" applyAlignment="1">
      <alignment horizontal="left" vertical="top"/>
    </xf>
    <xf numFmtId="0" fontId="54" fillId="33" borderId="14" xfId="0" applyFont="1" applyFill="1" applyBorder="1" applyAlignment="1">
      <alignment horizontal="center" vertical="center" wrapText="1"/>
    </xf>
    <xf numFmtId="3" fontId="54" fillId="33" borderId="14" xfId="0" applyNumberFormat="1" applyFont="1" applyFill="1" applyBorder="1" applyAlignment="1">
      <alignment horizontal="center" vertical="center" wrapText="1"/>
    </xf>
    <xf numFmtId="173" fontId="54" fillId="33" borderId="14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horizontal="center" vertical="top" wrapText="1"/>
    </xf>
    <xf numFmtId="49" fontId="66" fillId="0" borderId="0" xfId="0" applyNumberFormat="1" applyFont="1" applyAlignment="1">
      <alignment horizontal="center" vertical="top" wrapText="1"/>
    </xf>
    <xf numFmtId="49" fontId="54" fillId="0" borderId="0" xfId="0" applyNumberFormat="1" applyFont="1" applyAlignment="1">
      <alignment horizontal="center" vertical="top" wrapText="1"/>
    </xf>
    <xf numFmtId="172" fontId="54" fillId="33" borderId="14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67" fillId="33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174" fontId="54" fillId="33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right" vertical="top" wrapText="1"/>
    </xf>
    <xf numFmtId="172" fontId="69" fillId="0" borderId="14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right" vertical="top" wrapText="1"/>
    </xf>
    <xf numFmtId="0" fontId="63" fillId="0" borderId="0" xfId="0" applyFont="1" applyAlignment="1">
      <alignment horizontal="center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70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63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178" fontId="63" fillId="0" borderId="0" xfId="0" applyNumberFormat="1" applyFont="1" applyAlignment="1">
      <alignment horizontal="right" vertical="top" wrapText="1"/>
    </xf>
    <xf numFmtId="0" fontId="69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73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Zeros="0" zoomScalePageLayoutView="0" workbookViewId="0" topLeftCell="A1">
      <selection activeCell="M8" sqref="M8"/>
    </sheetView>
  </sheetViews>
  <sheetFormatPr defaultColWidth="9.140625" defaultRowHeight="15"/>
  <cols>
    <col min="1" max="1" width="6.57421875" style="130" customWidth="1"/>
    <col min="2" max="3" width="12.00390625" style="130" customWidth="1"/>
    <col min="4" max="4" width="40.140625" style="130" customWidth="1"/>
    <col min="5" max="5" width="7.8515625" style="130" customWidth="1"/>
    <col min="6" max="6" width="12.28125" style="130" hidden="1" customWidth="1"/>
    <col min="7" max="7" width="6.7109375" style="130" hidden="1" customWidth="1"/>
    <col min="8" max="8" width="7.00390625" style="130" hidden="1" customWidth="1"/>
    <col min="9" max="9" width="6.421875" style="130" hidden="1" customWidth="1"/>
    <col min="10" max="10" width="9.8515625" style="130" hidden="1" customWidth="1"/>
    <col min="11" max="11" width="13.7109375" style="130" hidden="1" customWidth="1"/>
    <col min="12" max="12" width="13.00390625" style="130" customWidth="1"/>
    <col min="13" max="13" width="11.8515625" style="130" customWidth="1"/>
    <col min="14" max="14" width="13.140625" style="130" hidden="1" customWidth="1"/>
    <col min="15" max="15" width="11.8515625" style="130" customWidth="1"/>
    <col min="16" max="16" width="14.140625" style="130" customWidth="1"/>
    <col min="17" max="17" width="12.8515625" style="130" customWidth="1"/>
    <col min="18" max="18" width="13.140625" style="130" hidden="1" customWidth="1"/>
    <col min="19" max="19" width="13.140625" style="130" customWidth="1"/>
    <col min="20" max="20" width="14.140625" style="130" customWidth="1"/>
    <col min="21" max="21" width="5.8515625" style="130" customWidth="1"/>
    <col min="22" max="22" width="5.421875" style="130" customWidth="1"/>
    <col min="23" max="23" width="5.140625" style="130" customWidth="1"/>
    <col min="24" max="25" width="17.7109375" style="130" customWidth="1"/>
    <col min="26" max="16384" width="9.140625" style="130" customWidth="1"/>
  </cols>
  <sheetData>
    <row r="1" spans="1:25" ht="22.5" customHeight="1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93"/>
      <c r="Y1" s="93"/>
    </row>
    <row r="2" spans="1:25" ht="19.5" customHeight="1">
      <c r="A2" s="141" t="s">
        <v>615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93"/>
      <c r="Y2" s="93"/>
    </row>
    <row r="3" spans="1:25" ht="18" customHeight="1">
      <c r="A3" s="142" t="s">
        <v>585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93"/>
      <c r="Y3" s="93"/>
    </row>
    <row r="4" spans="1:25" ht="18.75" customHeight="1">
      <c r="A4" s="143" t="s">
        <v>576</v>
      </c>
      <c r="B4" s="137" t="s">
        <v>516</v>
      </c>
      <c r="C4" s="144" t="s">
        <v>610</v>
      </c>
      <c r="D4" s="137" t="s">
        <v>324</v>
      </c>
      <c r="E4" s="137" t="s">
        <v>444</v>
      </c>
      <c r="F4" s="138" t="s">
        <v>440</v>
      </c>
      <c r="G4" s="148" t="s">
        <v>189</v>
      </c>
      <c r="H4" s="148"/>
      <c r="I4" s="148"/>
      <c r="J4" s="148" t="s">
        <v>413</v>
      </c>
      <c r="K4" s="139" t="s">
        <v>250</v>
      </c>
      <c r="L4" s="139" t="s">
        <v>411</v>
      </c>
      <c r="M4" s="138" t="s">
        <v>20</v>
      </c>
      <c r="N4" s="138"/>
      <c r="O4" s="138"/>
      <c r="P4" s="138"/>
      <c r="Q4" s="138" t="s">
        <v>116</v>
      </c>
      <c r="R4" s="138"/>
      <c r="S4" s="138"/>
      <c r="T4" s="138"/>
      <c r="U4" s="137" t="s">
        <v>379</v>
      </c>
      <c r="V4" s="137"/>
      <c r="W4" s="137"/>
      <c r="X4" s="146" t="s">
        <v>20</v>
      </c>
      <c r="Y4" s="146" t="s">
        <v>441</v>
      </c>
    </row>
    <row r="5" spans="1:25" ht="18" customHeight="1">
      <c r="A5" s="143"/>
      <c r="B5" s="137"/>
      <c r="C5" s="144"/>
      <c r="D5" s="137"/>
      <c r="E5" s="137"/>
      <c r="F5" s="138"/>
      <c r="G5" s="36" t="s">
        <v>482</v>
      </c>
      <c r="H5" s="36" t="s">
        <v>313</v>
      </c>
      <c r="I5" s="36" t="s">
        <v>235</v>
      </c>
      <c r="J5" s="148"/>
      <c r="K5" s="139"/>
      <c r="L5" s="139"/>
      <c r="M5" s="82" t="s">
        <v>81</v>
      </c>
      <c r="N5" s="82" t="s">
        <v>18</v>
      </c>
      <c r="O5" s="82" t="s">
        <v>88</v>
      </c>
      <c r="P5" s="82" t="s">
        <v>318</v>
      </c>
      <c r="Q5" s="82" t="s">
        <v>81</v>
      </c>
      <c r="R5" s="82" t="s">
        <v>18</v>
      </c>
      <c r="S5" s="82" t="s">
        <v>88</v>
      </c>
      <c r="T5" s="82" t="s">
        <v>318</v>
      </c>
      <c r="U5" s="5" t="s">
        <v>119</v>
      </c>
      <c r="V5" s="5" t="s">
        <v>67</v>
      </c>
      <c r="W5" s="5" t="s">
        <v>284</v>
      </c>
      <c r="X5" s="146"/>
      <c r="Y5" s="146"/>
    </row>
    <row r="6" spans="1:25" ht="15">
      <c r="A6" s="110"/>
      <c r="B6" s="91"/>
      <c r="C6" s="54" t="s">
        <v>330</v>
      </c>
      <c r="D6" s="18" t="s">
        <v>139</v>
      </c>
      <c r="E6" s="116"/>
      <c r="F6" s="88"/>
      <c r="G6" s="41"/>
      <c r="H6" s="41"/>
      <c r="I6" s="41"/>
      <c r="J6" s="41"/>
      <c r="K6" s="62"/>
      <c r="L6" s="62"/>
      <c r="M6" s="88"/>
      <c r="N6" s="88"/>
      <c r="O6" s="88"/>
      <c r="P6" s="88"/>
      <c r="Q6" s="88"/>
      <c r="R6" s="88"/>
      <c r="S6" s="88"/>
      <c r="T6" s="88"/>
      <c r="U6" s="12"/>
      <c r="V6" s="12"/>
      <c r="W6" s="12"/>
      <c r="X6" s="136"/>
      <c r="Y6" s="136"/>
    </row>
    <row r="7" spans="1:25" ht="30">
      <c r="A7" s="63">
        <v>1</v>
      </c>
      <c r="B7" s="49"/>
      <c r="C7" s="9" t="s">
        <v>182</v>
      </c>
      <c r="D7" s="49" t="s">
        <v>200</v>
      </c>
      <c r="E7" s="69" t="s">
        <v>45</v>
      </c>
      <c r="F7" s="46"/>
      <c r="G7" s="124"/>
      <c r="H7" s="124"/>
      <c r="I7" s="124"/>
      <c r="J7" s="124"/>
      <c r="K7" s="19"/>
      <c r="L7" s="65">
        <f>ROUND(SUM(K8:K8),4)</f>
        <v>10.584</v>
      </c>
      <c r="M7" s="46"/>
      <c r="N7" s="46"/>
      <c r="O7" s="46">
        <v>228619</v>
      </c>
      <c r="P7" s="46"/>
      <c r="Q7" s="46">
        <f>ROUND(L7*M7,0)</f>
        <v>0</v>
      </c>
      <c r="R7" s="46">
        <f>ROUND(L7*N7,0)</f>
        <v>0</v>
      </c>
      <c r="S7" s="46">
        <f>ROUND(L7*O7,0)</f>
        <v>2419703</v>
      </c>
      <c r="T7" s="46">
        <f>ROUND(L7*P7,0)</f>
        <v>0</v>
      </c>
      <c r="U7" s="100"/>
      <c r="V7" s="100"/>
      <c r="W7" s="100"/>
      <c r="X7" s="86" t="s">
        <v>224</v>
      </c>
      <c r="Y7" s="86" t="s">
        <v>215</v>
      </c>
    </row>
    <row r="8" spans="1:25" ht="15">
      <c r="A8" s="63"/>
      <c r="B8" s="49"/>
      <c r="C8" s="49"/>
      <c r="D8" s="94" t="s">
        <v>372</v>
      </c>
      <c r="E8" s="69"/>
      <c r="F8" s="90"/>
      <c r="G8" s="44"/>
      <c r="H8" s="44"/>
      <c r="I8" s="44"/>
      <c r="J8" s="44"/>
      <c r="K8" s="65">
        <v>10.584</v>
      </c>
      <c r="L8" s="19"/>
      <c r="M8" s="46"/>
      <c r="N8" s="46"/>
      <c r="O8" s="46"/>
      <c r="P8" s="46"/>
      <c r="Q8" s="46"/>
      <c r="R8" s="46"/>
      <c r="S8" s="46"/>
      <c r="T8" s="46"/>
      <c r="U8" s="100"/>
      <c r="V8" s="100"/>
      <c r="W8" s="100"/>
      <c r="X8" s="86"/>
      <c r="Y8" s="86"/>
    </row>
    <row r="9" spans="1:25" ht="45">
      <c r="A9" s="63">
        <v>2</v>
      </c>
      <c r="B9" s="49"/>
      <c r="C9" s="9" t="s">
        <v>186</v>
      </c>
      <c r="D9" s="49" t="s">
        <v>589</v>
      </c>
      <c r="E9" s="69" t="s">
        <v>454</v>
      </c>
      <c r="F9" s="46"/>
      <c r="G9" s="124"/>
      <c r="H9" s="124"/>
      <c r="I9" s="124"/>
      <c r="J9" s="124"/>
      <c r="K9" s="19"/>
      <c r="L9" s="65">
        <f>ROUND(SUM(K10:K10),4)</f>
        <v>0.588</v>
      </c>
      <c r="M9" s="46">
        <v>459546</v>
      </c>
      <c r="N9" s="46"/>
      <c r="O9" s="46">
        <v>210375</v>
      </c>
      <c r="P9" s="46">
        <v>45227</v>
      </c>
      <c r="Q9" s="46">
        <f>ROUND(L9*M9,0)</f>
        <v>270213</v>
      </c>
      <c r="R9" s="46">
        <f>ROUND(L9*N9,0)</f>
        <v>0</v>
      </c>
      <c r="S9" s="46">
        <f>ROUND(L9*O9,0)</f>
        <v>123701</v>
      </c>
      <c r="T9" s="46">
        <f>ROUND(L9*P9,0)</f>
        <v>26593</v>
      </c>
      <c r="U9" s="100"/>
      <c r="V9" s="100"/>
      <c r="W9" s="100"/>
      <c r="X9" s="86" t="s">
        <v>224</v>
      </c>
      <c r="Y9" s="86" t="s">
        <v>215</v>
      </c>
    </row>
    <row r="10" spans="1:25" ht="15">
      <c r="A10" s="63"/>
      <c r="B10" s="49"/>
      <c r="C10" s="49"/>
      <c r="D10" s="94" t="s">
        <v>551</v>
      </c>
      <c r="E10" s="69"/>
      <c r="F10" s="90"/>
      <c r="G10" s="44"/>
      <c r="H10" s="44"/>
      <c r="I10" s="44"/>
      <c r="J10" s="44"/>
      <c r="K10" s="65">
        <v>0.588</v>
      </c>
      <c r="L10" s="19"/>
      <c r="M10" s="46"/>
      <c r="N10" s="46"/>
      <c r="O10" s="46"/>
      <c r="P10" s="46"/>
      <c r="Q10" s="46"/>
      <c r="R10" s="46"/>
      <c r="S10" s="46"/>
      <c r="T10" s="46"/>
      <c r="U10" s="100"/>
      <c r="V10" s="100"/>
      <c r="W10" s="100"/>
      <c r="X10" s="86"/>
      <c r="Y10" s="86"/>
    </row>
    <row r="11" spans="1:25" ht="15">
      <c r="A11" s="63">
        <v>3</v>
      </c>
      <c r="B11" s="49"/>
      <c r="C11" s="9" t="s">
        <v>207</v>
      </c>
      <c r="D11" s="49" t="s">
        <v>599</v>
      </c>
      <c r="E11" s="69" t="s">
        <v>426</v>
      </c>
      <c r="F11" s="46"/>
      <c r="G11" s="124"/>
      <c r="H11" s="124"/>
      <c r="I11" s="124"/>
      <c r="J11" s="124"/>
      <c r="K11" s="19"/>
      <c r="L11" s="65">
        <f>ROUND(SUM(K12:K12),4)</f>
        <v>0.2016</v>
      </c>
      <c r="M11" s="46">
        <v>4229916</v>
      </c>
      <c r="N11" s="46"/>
      <c r="O11" s="46">
        <v>6385500</v>
      </c>
      <c r="P11" s="46"/>
      <c r="Q11" s="46">
        <f>ROUND(L11*M11,0)</f>
        <v>852751</v>
      </c>
      <c r="R11" s="46">
        <f>ROUND(L11*N11,0)</f>
        <v>0</v>
      </c>
      <c r="S11" s="46">
        <f>ROUND(L11*O11,0)</f>
        <v>1287317</v>
      </c>
      <c r="T11" s="46">
        <f>ROUND(L11*P11,0)</f>
        <v>0</v>
      </c>
      <c r="U11" s="100"/>
      <c r="V11" s="100"/>
      <c r="W11" s="100"/>
      <c r="X11" s="86" t="s">
        <v>224</v>
      </c>
      <c r="Y11" s="86" t="s">
        <v>215</v>
      </c>
    </row>
    <row r="12" spans="1:25" ht="15">
      <c r="A12" s="63"/>
      <c r="B12" s="49"/>
      <c r="C12" s="49"/>
      <c r="D12" s="94" t="s">
        <v>44</v>
      </c>
      <c r="E12" s="69"/>
      <c r="F12" s="90"/>
      <c r="G12" s="44"/>
      <c r="H12" s="44"/>
      <c r="I12" s="44"/>
      <c r="J12" s="44"/>
      <c r="K12" s="65">
        <v>0.2016</v>
      </c>
      <c r="L12" s="19"/>
      <c r="M12" s="46"/>
      <c r="N12" s="46"/>
      <c r="O12" s="46"/>
      <c r="P12" s="46"/>
      <c r="Q12" s="46"/>
      <c r="R12" s="46"/>
      <c r="S12" s="46"/>
      <c r="T12" s="46"/>
      <c r="U12" s="100"/>
      <c r="V12" s="100"/>
      <c r="W12" s="100"/>
      <c r="X12" s="86"/>
      <c r="Y12" s="86"/>
    </row>
    <row r="13" spans="1:25" ht="45">
      <c r="A13" s="63">
        <v>4</v>
      </c>
      <c r="B13" s="49"/>
      <c r="C13" s="9" t="s">
        <v>64</v>
      </c>
      <c r="D13" s="49" t="s">
        <v>598</v>
      </c>
      <c r="E13" s="69" t="s">
        <v>454</v>
      </c>
      <c r="F13" s="46"/>
      <c r="G13" s="124"/>
      <c r="H13" s="124"/>
      <c r="I13" s="124"/>
      <c r="J13" s="124"/>
      <c r="K13" s="19"/>
      <c r="L13" s="65">
        <f>ROUND(SUM(K14:K14),4)</f>
        <v>6.048</v>
      </c>
      <c r="M13" s="46">
        <v>548860</v>
      </c>
      <c r="N13" s="46"/>
      <c r="O13" s="46">
        <v>438600</v>
      </c>
      <c r="P13" s="46">
        <v>106366</v>
      </c>
      <c r="Q13" s="46">
        <f>ROUND(L13*M13,0)</f>
        <v>3319505</v>
      </c>
      <c r="R13" s="46">
        <f>ROUND(L13*N13,0)</f>
        <v>0</v>
      </c>
      <c r="S13" s="46">
        <f>ROUND(L13*O13,0)</f>
        <v>2652653</v>
      </c>
      <c r="T13" s="46">
        <f>ROUND(L13*P13,0)</f>
        <v>643302</v>
      </c>
      <c r="U13" s="100"/>
      <c r="V13" s="100"/>
      <c r="W13" s="100"/>
      <c r="X13" s="86" t="s">
        <v>224</v>
      </c>
      <c r="Y13" s="86" t="s">
        <v>215</v>
      </c>
    </row>
    <row r="14" spans="1:25" ht="15">
      <c r="A14" s="63"/>
      <c r="B14" s="49"/>
      <c r="C14" s="49"/>
      <c r="D14" s="94" t="s">
        <v>567</v>
      </c>
      <c r="E14" s="69"/>
      <c r="F14" s="90"/>
      <c r="G14" s="44"/>
      <c r="H14" s="44"/>
      <c r="I14" s="44"/>
      <c r="J14" s="44"/>
      <c r="K14" s="65">
        <v>6.048</v>
      </c>
      <c r="L14" s="19"/>
      <c r="M14" s="46"/>
      <c r="N14" s="46"/>
      <c r="O14" s="46"/>
      <c r="P14" s="46"/>
      <c r="Q14" s="46"/>
      <c r="R14" s="46"/>
      <c r="S14" s="46"/>
      <c r="T14" s="46"/>
      <c r="U14" s="100"/>
      <c r="V14" s="100"/>
      <c r="W14" s="100"/>
      <c r="X14" s="86"/>
      <c r="Y14" s="86"/>
    </row>
    <row r="15" spans="1:25" ht="15">
      <c r="A15" s="63">
        <v>5</v>
      </c>
      <c r="B15" s="49"/>
      <c r="C15" s="9" t="s">
        <v>131</v>
      </c>
      <c r="D15" s="49" t="s">
        <v>208</v>
      </c>
      <c r="E15" s="69" t="s">
        <v>103</v>
      </c>
      <c r="F15" s="46"/>
      <c r="G15" s="124"/>
      <c r="H15" s="124"/>
      <c r="I15" s="124"/>
      <c r="J15" s="124"/>
      <c r="K15" s="19"/>
      <c r="L15" s="65">
        <f>ROUND(SUM(K16:K16),4)</f>
        <v>0.2889</v>
      </c>
      <c r="M15" s="46">
        <v>11667757</v>
      </c>
      <c r="N15" s="46"/>
      <c r="O15" s="46">
        <v>1649050</v>
      </c>
      <c r="P15" s="46">
        <v>457480</v>
      </c>
      <c r="Q15" s="46">
        <f>ROUND(L15*M15,0)</f>
        <v>3370815</v>
      </c>
      <c r="R15" s="46">
        <f>ROUND(L15*N15,0)</f>
        <v>0</v>
      </c>
      <c r="S15" s="46">
        <f>ROUND(L15*O15,0)</f>
        <v>476411</v>
      </c>
      <c r="T15" s="46">
        <f>ROUND(L15*P15,0)</f>
        <v>132166</v>
      </c>
      <c r="U15" s="100"/>
      <c r="V15" s="100"/>
      <c r="W15" s="100"/>
      <c r="X15" s="86" t="s">
        <v>224</v>
      </c>
      <c r="Y15" s="86" t="s">
        <v>215</v>
      </c>
    </row>
    <row r="16" spans="1:25" ht="15">
      <c r="A16" s="63"/>
      <c r="B16" s="49"/>
      <c r="C16" s="49"/>
      <c r="D16" s="94" t="s">
        <v>478</v>
      </c>
      <c r="E16" s="69"/>
      <c r="F16" s="90"/>
      <c r="G16" s="44"/>
      <c r="H16" s="44"/>
      <c r="I16" s="44"/>
      <c r="J16" s="44"/>
      <c r="K16" s="65">
        <v>0.2889</v>
      </c>
      <c r="L16" s="19"/>
      <c r="M16" s="46"/>
      <c r="N16" s="46"/>
      <c r="O16" s="46"/>
      <c r="P16" s="46"/>
      <c r="Q16" s="46"/>
      <c r="R16" s="46"/>
      <c r="S16" s="46"/>
      <c r="T16" s="46"/>
      <c r="U16" s="100"/>
      <c r="V16" s="100"/>
      <c r="W16" s="100"/>
      <c r="X16" s="86"/>
      <c r="Y16" s="86"/>
    </row>
    <row r="17" spans="1:25" ht="15">
      <c r="A17" s="63">
        <v>6</v>
      </c>
      <c r="B17" s="49"/>
      <c r="C17" s="9" t="s">
        <v>219</v>
      </c>
      <c r="D17" s="49" t="s">
        <v>195</v>
      </c>
      <c r="E17" s="69" t="s">
        <v>426</v>
      </c>
      <c r="F17" s="46"/>
      <c r="G17" s="124"/>
      <c r="H17" s="124"/>
      <c r="I17" s="124"/>
      <c r="J17" s="124"/>
      <c r="K17" s="19"/>
      <c r="L17" s="65">
        <f>ROUND(SUM(K18:K18),4)</f>
        <v>0.312</v>
      </c>
      <c r="M17" s="46">
        <v>4528325</v>
      </c>
      <c r="N17" s="46"/>
      <c r="O17" s="46">
        <v>6858500</v>
      </c>
      <c r="P17" s="46"/>
      <c r="Q17" s="46">
        <f>ROUND(L17*M17,0)</f>
        <v>1412837</v>
      </c>
      <c r="R17" s="46">
        <f>ROUND(L17*N17,0)</f>
        <v>0</v>
      </c>
      <c r="S17" s="46">
        <f>ROUND(L17*O17,0)</f>
        <v>2139852</v>
      </c>
      <c r="T17" s="46">
        <f>ROUND(L17*P17,0)</f>
        <v>0</v>
      </c>
      <c r="U17" s="100"/>
      <c r="V17" s="100"/>
      <c r="W17" s="100"/>
      <c r="X17" s="86" t="s">
        <v>224</v>
      </c>
      <c r="Y17" s="86" t="s">
        <v>215</v>
      </c>
    </row>
    <row r="18" spans="1:25" ht="15">
      <c r="A18" s="63"/>
      <c r="B18" s="49"/>
      <c r="C18" s="49"/>
      <c r="D18" s="94" t="s">
        <v>414</v>
      </c>
      <c r="E18" s="69"/>
      <c r="F18" s="90"/>
      <c r="G18" s="44"/>
      <c r="H18" s="44"/>
      <c r="I18" s="44"/>
      <c r="J18" s="44"/>
      <c r="K18" s="65">
        <v>0.312</v>
      </c>
      <c r="L18" s="19"/>
      <c r="M18" s="46"/>
      <c r="N18" s="46"/>
      <c r="O18" s="46"/>
      <c r="P18" s="46"/>
      <c r="Q18" s="46"/>
      <c r="R18" s="46"/>
      <c r="S18" s="46"/>
      <c r="T18" s="46"/>
      <c r="U18" s="100"/>
      <c r="V18" s="100"/>
      <c r="W18" s="100"/>
      <c r="X18" s="86"/>
      <c r="Y18" s="86"/>
    </row>
    <row r="19" spans="1:25" ht="45">
      <c r="A19" s="63">
        <v>7</v>
      </c>
      <c r="B19" s="49"/>
      <c r="C19" s="9" t="s">
        <v>300</v>
      </c>
      <c r="D19" s="49" t="s">
        <v>507</v>
      </c>
      <c r="E19" s="69" t="s">
        <v>454</v>
      </c>
      <c r="F19" s="46"/>
      <c r="G19" s="124"/>
      <c r="H19" s="124"/>
      <c r="I19" s="124"/>
      <c r="J19" s="124"/>
      <c r="K19" s="19"/>
      <c r="L19" s="65">
        <f>ROUND(SUM(K20:K20),4)</f>
        <v>3.12</v>
      </c>
      <c r="M19" s="46">
        <v>565003</v>
      </c>
      <c r="N19" s="46"/>
      <c r="O19" s="46">
        <v>651450</v>
      </c>
      <c r="P19" s="46">
        <v>116427</v>
      </c>
      <c r="Q19" s="46">
        <f>ROUND(L19*M19,0)</f>
        <v>1762809</v>
      </c>
      <c r="R19" s="46">
        <f>ROUND(L19*N19,0)</f>
        <v>0</v>
      </c>
      <c r="S19" s="46">
        <f>ROUND(L19*O19,0)</f>
        <v>2032524</v>
      </c>
      <c r="T19" s="46">
        <f>ROUND(L19*P19,0)</f>
        <v>363252</v>
      </c>
      <c r="U19" s="100"/>
      <c r="V19" s="100"/>
      <c r="W19" s="100"/>
      <c r="X19" s="86" t="s">
        <v>224</v>
      </c>
      <c r="Y19" s="86" t="s">
        <v>215</v>
      </c>
    </row>
    <row r="20" spans="1:25" ht="15">
      <c r="A20" s="63"/>
      <c r="B20" s="49"/>
      <c r="C20" s="49"/>
      <c r="D20" s="94" t="s">
        <v>458</v>
      </c>
      <c r="E20" s="69"/>
      <c r="F20" s="90"/>
      <c r="G20" s="44"/>
      <c r="H20" s="44"/>
      <c r="I20" s="44"/>
      <c r="J20" s="44"/>
      <c r="K20" s="65">
        <v>3.12</v>
      </c>
      <c r="L20" s="19"/>
      <c r="M20" s="46"/>
      <c r="N20" s="46"/>
      <c r="O20" s="46"/>
      <c r="P20" s="46"/>
      <c r="Q20" s="46"/>
      <c r="R20" s="46"/>
      <c r="S20" s="46"/>
      <c r="T20" s="46"/>
      <c r="U20" s="100"/>
      <c r="V20" s="100"/>
      <c r="W20" s="100"/>
      <c r="X20" s="86"/>
      <c r="Y20" s="86"/>
    </row>
    <row r="21" spans="1:25" ht="30">
      <c r="A21" s="63">
        <v>8</v>
      </c>
      <c r="B21" s="49"/>
      <c r="C21" s="9" t="s">
        <v>432</v>
      </c>
      <c r="D21" s="49" t="s">
        <v>571</v>
      </c>
      <c r="E21" s="69" t="s">
        <v>103</v>
      </c>
      <c r="F21" s="46"/>
      <c r="G21" s="124"/>
      <c r="H21" s="124"/>
      <c r="I21" s="124"/>
      <c r="J21" s="124"/>
      <c r="K21" s="19"/>
      <c r="L21" s="65">
        <f>ROUND(SUM(K22:K22),4)</f>
        <v>0.0923</v>
      </c>
      <c r="M21" s="46">
        <v>11337484</v>
      </c>
      <c r="N21" s="46"/>
      <c r="O21" s="46">
        <v>3117500</v>
      </c>
      <c r="P21" s="46">
        <v>138701</v>
      </c>
      <c r="Q21" s="46">
        <f>ROUND(L21*M21,0)</f>
        <v>1046450</v>
      </c>
      <c r="R21" s="46">
        <f>ROUND(L21*N21,0)</f>
        <v>0</v>
      </c>
      <c r="S21" s="46">
        <f>ROUND(L21*O21,0)</f>
        <v>287745</v>
      </c>
      <c r="T21" s="46">
        <f>ROUND(L21*P21,0)</f>
        <v>12802</v>
      </c>
      <c r="U21" s="100"/>
      <c r="V21" s="100"/>
      <c r="W21" s="100"/>
      <c r="X21" s="86" t="s">
        <v>224</v>
      </c>
      <c r="Y21" s="86" t="s">
        <v>215</v>
      </c>
    </row>
    <row r="22" spans="1:25" ht="15">
      <c r="A22" s="63"/>
      <c r="B22" s="49"/>
      <c r="C22" s="49"/>
      <c r="D22" s="94" t="s">
        <v>395</v>
      </c>
      <c r="E22" s="69"/>
      <c r="F22" s="90"/>
      <c r="G22" s="44"/>
      <c r="H22" s="44"/>
      <c r="I22" s="44"/>
      <c r="J22" s="44"/>
      <c r="K22" s="65">
        <v>0.0923</v>
      </c>
      <c r="L22" s="19"/>
      <c r="M22" s="46"/>
      <c r="N22" s="46"/>
      <c r="O22" s="46"/>
      <c r="P22" s="46"/>
      <c r="Q22" s="46"/>
      <c r="R22" s="46"/>
      <c r="S22" s="46"/>
      <c r="T22" s="46"/>
      <c r="U22" s="100"/>
      <c r="V22" s="100"/>
      <c r="W22" s="100"/>
      <c r="X22" s="86"/>
      <c r="Y22" s="86"/>
    </row>
    <row r="23" spans="1:25" ht="30">
      <c r="A23" s="63">
        <v>9</v>
      </c>
      <c r="B23" s="49"/>
      <c r="C23" s="9" t="s">
        <v>449</v>
      </c>
      <c r="D23" s="49" t="s">
        <v>317</v>
      </c>
      <c r="E23" s="69" t="s">
        <v>103</v>
      </c>
      <c r="F23" s="46"/>
      <c r="G23" s="124"/>
      <c r="H23" s="124"/>
      <c r="I23" s="124"/>
      <c r="J23" s="124"/>
      <c r="K23" s="19"/>
      <c r="L23" s="65">
        <f>ROUND(SUM(K24:K24),4)</f>
        <v>0.4163</v>
      </c>
      <c r="M23" s="46">
        <v>11671396</v>
      </c>
      <c r="N23" s="46"/>
      <c r="O23" s="46">
        <v>2014550</v>
      </c>
      <c r="P23" s="46">
        <v>516741</v>
      </c>
      <c r="Q23" s="46">
        <f>ROUND(L23*M23,0)</f>
        <v>4858802</v>
      </c>
      <c r="R23" s="46">
        <f>ROUND(L23*N23,0)</f>
        <v>0</v>
      </c>
      <c r="S23" s="46">
        <f>ROUND(L23*O23,0)</f>
        <v>838657</v>
      </c>
      <c r="T23" s="46">
        <f>ROUND(L23*P23,0)</f>
        <v>215119</v>
      </c>
      <c r="U23" s="100"/>
      <c r="V23" s="100"/>
      <c r="W23" s="100"/>
      <c r="X23" s="86" t="s">
        <v>224</v>
      </c>
      <c r="Y23" s="86" t="s">
        <v>215</v>
      </c>
    </row>
    <row r="24" spans="1:25" ht="15">
      <c r="A24" s="63"/>
      <c r="B24" s="49"/>
      <c r="C24" s="49"/>
      <c r="D24" s="94" t="s">
        <v>278</v>
      </c>
      <c r="E24" s="69"/>
      <c r="F24" s="90"/>
      <c r="G24" s="44"/>
      <c r="H24" s="44"/>
      <c r="I24" s="44"/>
      <c r="J24" s="44"/>
      <c r="K24" s="65">
        <v>0.4163</v>
      </c>
      <c r="L24" s="19"/>
      <c r="M24" s="46"/>
      <c r="N24" s="46"/>
      <c r="O24" s="46"/>
      <c r="P24" s="46"/>
      <c r="Q24" s="46"/>
      <c r="R24" s="46"/>
      <c r="S24" s="46"/>
      <c r="T24" s="46"/>
      <c r="U24" s="100"/>
      <c r="V24" s="100"/>
      <c r="W24" s="100"/>
      <c r="X24" s="86"/>
      <c r="Y24" s="86"/>
    </row>
    <row r="25" spans="1:25" ht="30">
      <c r="A25" s="63">
        <v>10</v>
      </c>
      <c r="B25" s="49"/>
      <c r="C25" s="9" t="s">
        <v>279</v>
      </c>
      <c r="D25" s="49" t="s">
        <v>28</v>
      </c>
      <c r="E25" s="69" t="s">
        <v>103</v>
      </c>
      <c r="F25" s="46"/>
      <c r="G25" s="124"/>
      <c r="H25" s="124"/>
      <c r="I25" s="124"/>
      <c r="J25" s="124"/>
      <c r="K25" s="19"/>
      <c r="L25" s="65">
        <f>ROUND(SUM(K26:K26),4)</f>
        <v>0.2231</v>
      </c>
      <c r="M25" s="46">
        <v>13999822</v>
      </c>
      <c r="N25" s="46"/>
      <c r="O25" s="46">
        <v>6943293</v>
      </c>
      <c r="P25" s="46">
        <v>2472514</v>
      </c>
      <c r="Q25" s="46">
        <f>ROUND(L25*M25,0)</f>
        <v>3123360</v>
      </c>
      <c r="R25" s="46">
        <f>ROUND(L25*N25,0)</f>
        <v>0</v>
      </c>
      <c r="S25" s="46">
        <f>ROUND(L25*O25,0)</f>
        <v>1549049</v>
      </c>
      <c r="T25" s="46">
        <f>ROUND(L25*P25,0)</f>
        <v>551618</v>
      </c>
      <c r="U25" s="100"/>
      <c r="V25" s="100"/>
      <c r="W25" s="100"/>
      <c r="X25" s="86" t="s">
        <v>224</v>
      </c>
      <c r="Y25" s="86" t="s">
        <v>215</v>
      </c>
    </row>
    <row r="26" spans="1:25" ht="15">
      <c r="A26" s="63"/>
      <c r="B26" s="49"/>
      <c r="C26" s="49"/>
      <c r="D26" s="94" t="s">
        <v>524</v>
      </c>
      <c r="E26" s="69"/>
      <c r="F26" s="90"/>
      <c r="G26" s="44"/>
      <c r="H26" s="44"/>
      <c r="I26" s="44"/>
      <c r="J26" s="44"/>
      <c r="K26" s="65">
        <v>0.2231</v>
      </c>
      <c r="L26" s="19"/>
      <c r="M26" s="46"/>
      <c r="N26" s="46"/>
      <c r="O26" s="46"/>
      <c r="P26" s="46"/>
      <c r="Q26" s="46"/>
      <c r="R26" s="46"/>
      <c r="S26" s="46"/>
      <c r="T26" s="46"/>
      <c r="U26" s="100"/>
      <c r="V26" s="100"/>
      <c r="W26" s="100"/>
      <c r="X26" s="86"/>
      <c r="Y26" s="86"/>
    </row>
    <row r="27" spans="1:25" ht="15">
      <c r="A27" s="63">
        <v>11</v>
      </c>
      <c r="B27" s="49"/>
      <c r="C27" s="9" t="s">
        <v>206</v>
      </c>
      <c r="D27" s="49" t="s">
        <v>603</v>
      </c>
      <c r="E27" s="69" t="s">
        <v>103</v>
      </c>
      <c r="F27" s="46"/>
      <c r="G27" s="124"/>
      <c r="H27" s="124"/>
      <c r="I27" s="124"/>
      <c r="J27" s="124"/>
      <c r="K27" s="19"/>
      <c r="L27" s="65">
        <f>ROUND(L25,4)</f>
        <v>0.2231</v>
      </c>
      <c r="M27" s="46">
        <v>311900</v>
      </c>
      <c r="N27" s="46"/>
      <c r="O27" s="46">
        <v>1213618</v>
      </c>
      <c r="P27" s="46">
        <v>1072830</v>
      </c>
      <c r="Q27" s="46">
        <f>ROUND(L27*M27,0)</f>
        <v>69585</v>
      </c>
      <c r="R27" s="46">
        <f>ROUND(L27*N27,0)</f>
        <v>0</v>
      </c>
      <c r="S27" s="46">
        <f>ROUND(L27*O27,0)</f>
        <v>270758</v>
      </c>
      <c r="T27" s="46">
        <f>ROUND(L27*P27,0)</f>
        <v>239348</v>
      </c>
      <c r="U27" s="100"/>
      <c r="V27" s="100"/>
      <c r="W27" s="100"/>
      <c r="X27" s="86" t="s">
        <v>224</v>
      </c>
      <c r="Y27" s="86" t="s">
        <v>215</v>
      </c>
    </row>
    <row r="28" spans="1:25" ht="15">
      <c r="A28" s="63"/>
      <c r="B28" s="49"/>
      <c r="C28" s="49"/>
      <c r="D28" s="103" t="s">
        <v>70</v>
      </c>
      <c r="E28" s="69"/>
      <c r="F28" s="46"/>
      <c r="G28" s="124"/>
      <c r="H28" s="124"/>
      <c r="I28" s="124"/>
      <c r="J28" s="124"/>
      <c r="K28" s="19"/>
      <c r="L28" s="19"/>
      <c r="M28" s="46"/>
      <c r="N28" s="46"/>
      <c r="O28" s="46"/>
      <c r="P28" s="46"/>
      <c r="Q28" s="46"/>
      <c r="R28" s="46"/>
      <c r="S28" s="46"/>
      <c r="T28" s="46"/>
      <c r="U28" s="100"/>
      <c r="V28" s="100"/>
      <c r="W28" s="100"/>
      <c r="X28" s="86"/>
      <c r="Y28" s="86"/>
    </row>
    <row r="29" spans="1:25" ht="30">
      <c r="A29" s="63">
        <v>12</v>
      </c>
      <c r="B29" s="49"/>
      <c r="C29" s="9" t="s">
        <v>182</v>
      </c>
      <c r="D29" s="49" t="s">
        <v>200</v>
      </c>
      <c r="E29" s="69" t="s">
        <v>45</v>
      </c>
      <c r="F29" s="46"/>
      <c r="G29" s="124"/>
      <c r="H29" s="124"/>
      <c r="I29" s="124"/>
      <c r="J29" s="124"/>
      <c r="K29" s="19"/>
      <c r="L29" s="65">
        <f>ROUND(SUM(K30:K30),4)</f>
        <v>2.31</v>
      </c>
      <c r="M29" s="46"/>
      <c r="N29" s="46"/>
      <c r="O29" s="46">
        <v>228619</v>
      </c>
      <c r="P29" s="46"/>
      <c r="Q29" s="46">
        <f>ROUND(L29*M29,0)</f>
        <v>0</v>
      </c>
      <c r="R29" s="46">
        <f>ROUND(L29*N29,0)</f>
        <v>0</v>
      </c>
      <c r="S29" s="46">
        <f>ROUND(L29*O29,0)</f>
        <v>528110</v>
      </c>
      <c r="T29" s="46">
        <f>ROUND(L29*P29,0)</f>
        <v>0</v>
      </c>
      <c r="U29" s="100"/>
      <c r="V29" s="100"/>
      <c r="W29" s="100"/>
      <c r="X29" s="86" t="s">
        <v>224</v>
      </c>
      <c r="Y29" s="86" t="s">
        <v>215</v>
      </c>
    </row>
    <row r="30" spans="1:25" ht="15">
      <c r="A30" s="63"/>
      <c r="B30" s="49"/>
      <c r="C30" s="49"/>
      <c r="D30" s="94" t="s">
        <v>304</v>
      </c>
      <c r="E30" s="69"/>
      <c r="F30" s="90"/>
      <c r="G30" s="44"/>
      <c r="H30" s="44"/>
      <c r="I30" s="44"/>
      <c r="J30" s="44"/>
      <c r="K30" s="65">
        <v>2.31</v>
      </c>
      <c r="L30" s="19"/>
      <c r="M30" s="46"/>
      <c r="N30" s="46"/>
      <c r="O30" s="46"/>
      <c r="P30" s="46"/>
      <c r="Q30" s="46"/>
      <c r="R30" s="46"/>
      <c r="S30" s="46"/>
      <c r="T30" s="46"/>
      <c r="U30" s="100"/>
      <c r="V30" s="100"/>
      <c r="W30" s="100"/>
      <c r="X30" s="86"/>
      <c r="Y30" s="86"/>
    </row>
    <row r="31" spans="1:25" ht="45">
      <c r="A31" s="63">
        <v>13</v>
      </c>
      <c r="B31" s="49"/>
      <c r="C31" s="9" t="s">
        <v>186</v>
      </c>
      <c r="D31" s="49" t="s">
        <v>589</v>
      </c>
      <c r="E31" s="69" t="s">
        <v>454</v>
      </c>
      <c r="F31" s="46"/>
      <c r="G31" s="124"/>
      <c r="H31" s="124"/>
      <c r="I31" s="124"/>
      <c r="J31" s="124"/>
      <c r="K31" s="19"/>
      <c r="L31" s="65">
        <f>ROUND(SUM(K32:K32),4)</f>
        <v>0.4463</v>
      </c>
      <c r="M31" s="46">
        <v>459546</v>
      </c>
      <c r="N31" s="46"/>
      <c r="O31" s="46">
        <v>210375</v>
      </c>
      <c r="P31" s="46">
        <v>45227</v>
      </c>
      <c r="Q31" s="46">
        <f>ROUND(L31*M31,0)</f>
        <v>205095</v>
      </c>
      <c r="R31" s="46">
        <f>ROUND(L31*N31,0)</f>
        <v>0</v>
      </c>
      <c r="S31" s="46">
        <f>ROUND(L31*O31,0)</f>
        <v>93890</v>
      </c>
      <c r="T31" s="46">
        <f>ROUND(L31*P31,0)</f>
        <v>20185</v>
      </c>
      <c r="U31" s="100"/>
      <c r="V31" s="100"/>
      <c r="W31" s="100"/>
      <c r="X31" s="86" t="s">
        <v>224</v>
      </c>
      <c r="Y31" s="86" t="s">
        <v>215</v>
      </c>
    </row>
    <row r="32" spans="1:25" ht="15">
      <c r="A32" s="63"/>
      <c r="B32" s="49"/>
      <c r="C32" s="49"/>
      <c r="D32" s="94" t="s">
        <v>517</v>
      </c>
      <c r="E32" s="69"/>
      <c r="F32" s="90"/>
      <c r="G32" s="44"/>
      <c r="H32" s="44"/>
      <c r="I32" s="44"/>
      <c r="J32" s="44"/>
      <c r="K32" s="65">
        <v>0.4463</v>
      </c>
      <c r="L32" s="19"/>
      <c r="M32" s="46"/>
      <c r="N32" s="46"/>
      <c r="O32" s="46"/>
      <c r="P32" s="46"/>
      <c r="Q32" s="46"/>
      <c r="R32" s="46"/>
      <c r="S32" s="46"/>
      <c r="T32" s="46"/>
      <c r="U32" s="100"/>
      <c r="V32" s="100"/>
      <c r="W32" s="100"/>
      <c r="X32" s="86"/>
      <c r="Y32" s="86"/>
    </row>
    <row r="33" spans="1:25" ht="15">
      <c r="A33" s="63">
        <v>14</v>
      </c>
      <c r="B33" s="49"/>
      <c r="C33" s="9" t="s">
        <v>207</v>
      </c>
      <c r="D33" s="49" t="s">
        <v>599</v>
      </c>
      <c r="E33" s="69" t="s">
        <v>426</v>
      </c>
      <c r="F33" s="46"/>
      <c r="G33" s="124"/>
      <c r="H33" s="124"/>
      <c r="I33" s="124"/>
      <c r="J33" s="124"/>
      <c r="K33" s="19"/>
      <c r="L33" s="65">
        <f>ROUND(SUM(K34:K34),4)</f>
        <v>0.037</v>
      </c>
      <c r="M33" s="46">
        <v>4229916</v>
      </c>
      <c r="N33" s="46"/>
      <c r="O33" s="46">
        <v>6385500</v>
      </c>
      <c r="P33" s="46"/>
      <c r="Q33" s="46">
        <f>ROUND(L33*M33,0)</f>
        <v>156507</v>
      </c>
      <c r="R33" s="46">
        <f>ROUND(L33*N33,0)</f>
        <v>0</v>
      </c>
      <c r="S33" s="46">
        <f>ROUND(L33*O33,0)</f>
        <v>236264</v>
      </c>
      <c r="T33" s="46">
        <f>ROUND(L33*P33,0)</f>
        <v>0</v>
      </c>
      <c r="U33" s="100"/>
      <c r="V33" s="100"/>
      <c r="W33" s="100"/>
      <c r="X33" s="86" t="s">
        <v>224</v>
      </c>
      <c r="Y33" s="86" t="s">
        <v>215</v>
      </c>
    </row>
    <row r="34" spans="1:25" ht="15">
      <c r="A34" s="63"/>
      <c r="B34" s="49"/>
      <c r="C34" s="49"/>
      <c r="D34" s="94" t="s">
        <v>82</v>
      </c>
      <c r="E34" s="69"/>
      <c r="F34" s="90"/>
      <c r="G34" s="44"/>
      <c r="H34" s="44"/>
      <c r="I34" s="44"/>
      <c r="J34" s="44"/>
      <c r="K34" s="65">
        <v>0.037</v>
      </c>
      <c r="L34" s="19"/>
      <c r="M34" s="46"/>
      <c r="N34" s="46"/>
      <c r="O34" s="46"/>
      <c r="P34" s="46"/>
      <c r="Q34" s="46"/>
      <c r="R34" s="46"/>
      <c r="S34" s="46"/>
      <c r="T34" s="46"/>
      <c r="U34" s="100"/>
      <c r="V34" s="100"/>
      <c r="W34" s="100"/>
      <c r="X34" s="86"/>
      <c r="Y34" s="86"/>
    </row>
    <row r="35" spans="1:25" ht="45">
      <c r="A35" s="63">
        <v>15</v>
      </c>
      <c r="B35" s="49"/>
      <c r="C35" s="9" t="s">
        <v>133</v>
      </c>
      <c r="D35" s="49" t="s">
        <v>27</v>
      </c>
      <c r="E35" s="69" t="s">
        <v>454</v>
      </c>
      <c r="F35" s="46"/>
      <c r="G35" s="124"/>
      <c r="H35" s="124"/>
      <c r="I35" s="124"/>
      <c r="J35" s="124"/>
      <c r="K35" s="19"/>
      <c r="L35" s="65">
        <f>ROUND(SUM(K36:K36),4)</f>
        <v>2.7994</v>
      </c>
      <c r="M35" s="46">
        <v>524056</v>
      </c>
      <c r="N35" s="46"/>
      <c r="O35" s="46">
        <v>438600</v>
      </c>
      <c r="P35" s="46">
        <v>106366</v>
      </c>
      <c r="Q35" s="46">
        <f>ROUND(L35*M35,0)</f>
        <v>1467042</v>
      </c>
      <c r="R35" s="46">
        <f>ROUND(L35*N35,0)</f>
        <v>0</v>
      </c>
      <c r="S35" s="46">
        <f>ROUND(L35*O35,0)</f>
        <v>1227817</v>
      </c>
      <c r="T35" s="46">
        <f>ROUND(L35*P35,0)</f>
        <v>297761</v>
      </c>
      <c r="U35" s="100"/>
      <c r="V35" s="100"/>
      <c r="W35" s="100"/>
      <c r="X35" s="86" t="s">
        <v>224</v>
      </c>
      <c r="Y35" s="86" t="s">
        <v>215</v>
      </c>
    </row>
    <row r="36" spans="1:25" ht="30">
      <c r="A36" s="63"/>
      <c r="B36" s="49"/>
      <c r="C36" s="49"/>
      <c r="D36" s="94" t="s">
        <v>422</v>
      </c>
      <c r="E36" s="69"/>
      <c r="F36" s="90"/>
      <c r="G36" s="44"/>
      <c r="H36" s="44"/>
      <c r="I36" s="44"/>
      <c r="J36" s="44"/>
      <c r="K36" s="65">
        <v>2.7994</v>
      </c>
      <c r="L36" s="19"/>
      <c r="M36" s="46"/>
      <c r="N36" s="46"/>
      <c r="O36" s="46"/>
      <c r="P36" s="46"/>
      <c r="Q36" s="46"/>
      <c r="R36" s="46"/>
      <c r="S36" s="46"/>
      <c r="T36" s="46"/>
      <c r="U36" s="100"/>
      <c r="V36" s="100"/>
      <c r="W36" s="100"/>
      <c r="X36" s="86"/>
      <c r="Y36" s="86"/>
    </row>
    <row r="37" spans="1:25" ht="15">
      <c r="A37" s="63">
        <v>16</v>
      </c>
      <c r="B37" s="49"/>
      <c r="C37" s="9" t="s">
        <v>108</v>
      </c>
      <c r="D37" s="49" t="s">
        <v>112</v>
      </c>
      <c r="E37" s="69" t="s">
        <v>103</v>
      </c>
      <c r="F37" s="46"/>
      <c r="G37" s="124"/>
      <c r="H37" s="124"/>
      <c r="I37" s="124"/>
      <c r="J37" s="124"/>
      <c r="K37" s="19"/>
      <c r="L37" s="65">
        <f>ROUND(SUM(K38:K38),4)</f>
        <v>0.0364</v>
      </c>
      <c r="M37" s="46">
        <v>11337484</v>
      </c>
      <c r="N37" s="46"/>
      <c r="O37" s="46">
        <v>2311250</v>
      </c>
      <c r="P37" s="46">
        <v>91718</v>
      </c>
      <c r="Q37" s="46">
        <f>ROUND(L37*M37,0)</f>
        <v>412684</v>
      </c>
      <c r="R37" s="46">
        <f>ROUND(L37*N37,0)</f>
        <v>0</v>
      </c>
      <c r="S37" s="46">
        <f>ROUND(L37*O37,0)</f>
        <v>84130</v>
      </c>
      <c r="T37" s="46">
        <f>ROUND(L37*P37,0)</f>
        <v>3339</v>
      </c>
      <c r="U37" s="100"/>
      <c r="V37" s="100"/>
      <c r="W37" s="100"/>
      <c r="X37" s="86" t="s">
        <v>224</v>
      </c>
      <c r="Y37" s="86" t="s">
        <v>215</v>
      </c>
    </row>
    <row r="38" spans="1:25" ht="15">
      <c r="A38" s="63"/>
      <c r="B38" s="49"/>
      <c r="C38" s="49"/>
      <c r="D38" s="94" t="s">
        <v>332</v>
      </c>
      <c r="E38" s="69"/>
      <c r="F38" s="90"/>
      <c r="G38" s="44"/>
      <c r="H38" s="44"/>
      <c r="I38" s="44"/>
      <c r="J38" s="44"/>
      <c r="K38" s="65">
        <v>0.0364</v>
      </c>
      <c r="L38" s="19"/>
      <c r="M38" s="46"/>
      <c r="N38" s="46"/>
      <c r="O38" s="46"/>
      <c r="P38" s="46"/>
      <c r="Q38" s="46"/>
      <c r="R38" s="46"/>
      <c r="S38" s="46"/>
      <c r="T38" s="46"/>
      <c r="U38" s="100"/>
      <c r="V38" s="100"/>
      <c r="W38" s="100"/>
      <c r="X38" s="86"/>
      <c r="Y38" s="86"/>
    </row>
    <row r="39" spans="1:25" ht="15">
      <c r="A39" s="63">
        <v>17</v>
      </c>
      <c r="B39" s="49"/>
      <c r="C39" s="9" t="s">
        <v>131</v>
      </c>
      <c r="D39" s="49" t="s">
        <v>208</v>
      </c>
      <c r="E39" s="69" t="s">
        <v>103</v>
      </c>
      <c r="F39" s="46"/>
      <c r="G39" s="124"/>
      <c r="H39" s="124"/>
      <c r="I39" s="124"/>
      <c r="J39" s="124"/>
      <c r="K39" s="19"/>
      <c r="L39" s="65">
        <f>ROUND(SUM(K40:K40),4)</f>
        <v>0.0829</v>
      </c>
      <c r="M39" s="46">
        <v>11667757</v>
      </c>
      <c r="N39" s="46"/>
      <c r="O39" s="46">
        <v>1649050</v>
      </c>
      <c r="P39" s="46">
        <v>457480</v>
      </c>
      <c r="Q39" s="46">
        <f>ROUND(L39*M39,0)</f>
        <v>967257</v>
      </c>
      <c r="R39" s="46">
        <f>ROUND(L39*N39,0)</f>
        <v>0</v>
      </c>
      <c r="S39" s="46">
        <f>ROUND(L39*O39,0)</f>
        <v>136706</v>
      </c>
      <c r="T39" s="46">
        <f>ROUND(L39*P39,0)</f>
        <v>37925</v>
      </c>
      <c r="U39" s="100"/>
      <c r="V39" s="100"/>
      <c r="W39" s="100"/>
      <c r="X39" s="86" t="s">
        <v>224</v>
      </c>
      <c r="Y39" s="86" t="s">
        <v>215</v>
      </c>
    </row>
    <row r="40" spans="1:25" ht="15">
      <c r="A40" s="63"/>
      <c r="B40" s="49"/>
      <c r="C40" s="49"/>
      <c r="D40" s="94" t="s">
        <v>137</v>
      </c>
      <c r="E40" s="69"/>
      <c r="F40" s="90"/>
      <c r="G40" s="44"/>
      <c r="H40" s="44"/>
      <c r="I40" s="44"/>
      <c r="J40" s="44"/>
      <c r="K40" s="65">
        <v>0.0829</v>
      </c>
      <c r="L40" s="19"/>
      <c r="M40" s="46"/>
      <c r="N40" s="46"/>
      <c r="O40" s="46"/>
      <c r="P40" s="46"/>
      <c r="Q40" s="46"/>
      <c r="R40" s="46"/>
      <c r="S40" s="46"/>
      <c r="T40" s="46"/>
      <c r="U40" s="100"/>
      <c r="V40" s="100"/>
      <c r="W40" s="100"/>
      <c r="X40" s="86"/>
      <c r="Y40" s="86"/>
    </row>
    <row r="41" spans="1:25" ht="45">
      <c r="A41" s="63">
        <v>18</v>
      </c>
      <c r="B41" s="49"/>
      <c r="C41" s="9" t="s">
        <v>512</v>
      </c>
      <c r="D41" s="49" t="s">
        <v>19</v>
      </c>
      <c r="E41" s="69" t="s">
        <v>147</v>
      </c>
      <c r="F41" s="46"/>
      <c r="G41" s="124"/>
      <c r="H41" s="124"/>
      <c r="I41" s="124"/>
      <c r="J41" s="124"/>
      <c r="K41" s="19"/>
      <c r="L41" s="65">
        <f>ROUND(SUM(K42:K42),4)</f>
        <v>0.24</v>
      </c>
      <c r="M41" s="46">
        <v>19526087</v>
      </c>
      <c r="N41" s="46"/>
      <c r="O41" s="46">
        <v>1962950</v>
      </c>
      <c r="P41" s="46">
        <v>280283</v>
      </c>
      <c r="Q41" s="46">
        <f>ROUND(L41*M41,0)</f>
        <v>4686261</v>
      </c>
      <c r="R41" s="46">
        <f>ROUND(L41*N41,0)</f>
        <v>0</v>
      </c>
      <c r="S41" s="46">
        <f>ROUND(L41*O41,0)</f>
        <v>471108</v>
      </c>
      <c r="T41" s="46">
        <f>ROUND(L41*P41,0)</f>
        <v>67268</v>
      </c>
      <c r="U41" s="100"/>
      <c r="V41" s="100"/>
      <c r="W41" s="100"/>
      <c r="X41" s="86" t="s">
        <v>561</v>
      </c>
      <c r="Y41" s="86" t="s">
        <v>215</v>
      </c>
    </row>
    <row r="42" spans="1:25" ht="15">
      <c r="A42" s="63"/>
      <c r="B42" s="49"/>
      <c r="C42" s="49"/>
      <c r="D42" s="94" t="s">
        <v>31</v>
      </c>
      <c r="E42" s="69"/>
      <c r="F42" s="90"/>
      <c r="G42" s="44"/>
      <c r="H42" s="44"/>
      <c r="I42" s="44"/>
      <c r="J42" s="44"/>
      <c r="K42" s="65">
        <v>0.24</v>
      </c>
      <c r="L42" s="19"/>
      <c r="M42" s="46"/>
      <c r="N42" s="46"/>
      <c r="O42" s="46"/>
      <c r="P42" s="46"/>
      <c r="Q42" s="46"/>
      <c r="R42" s="46"/>
      <c r="S42" s="46"/>
      <c r="T42" s="46"/>
      <c r="U42" s="100"/>
      <c r="V42" s="100"/>
      <c r="W42" s="100"/>
      <c r="X42" s="86"/>
      <c r="Y42" s="86"/>
    </row>
    <row r="43" spans="1:25" ht="15">
      <c r="A43" s="63"/>
      <c r="B43" s="49"/>
      <c r="C43" s="49"/>
      <c r="D43" s="49"/>
      <c r="E43" s="69"/>
      <c r="F43" s="46"/>
      <c r="G43" s="124"/>
      <c r="H43" s="124"/>
      <c r="I43" s="124"/>
      <c r="J43" s="124"/>
      <c r="K43" s="19"/>
      <c r="L43" s="19"/>
      <c r="M43" s="46"/>
      <c r="N43" s="46"/>
      <c r="O43" s="46"/>
      <c r="P43" s="46"/>
      <c r="Q43" s="46"/>
      <c r="R43" s="46"/>
      <c r="S43" s="46"/>
      <c r="T43" s="46"/>
      <c r="U43" s="100"/>
      <c r="V43" s="100"/>
      <c r="W43" s="100"/>
      <c r="X43" s="86"/>
      <c r="Y43" s="86"/>
    </row>
    <row r="44" spans="1:25" ht="15">
      <c r="A44" s="63"/>
      <c r="B44" s="49"/>
      <c r="C44" s="49"/>
      <c r="D44" s="49"/>
      <c r="E44" s="69"/>
      <c r="F44" s="46"/>
      <c r="G44" s="124"/>
      <c r="H44" s="124"/>
      <c r="I44" s="124"/>
      <c r="J44" s="124"/>
      <c r="K44" s="19"/>
      <c r="L44" s="19"/>
      <c r="M44" s="46"/>
      <c r="N44" s="46"/>
      <c r="O44" s="46"/>
      <c r="P44" s="46"/>
      <c r="Q44" s="46"/>
      <c r="R44" s="46"/>
      <c r="S44" s="46"/>
      <c r="T44" s="46"/>
      <c r="U44" s="100"/>
      <c r="V44" s="100"/>
      <c r="W44" s="100"/>
      <c r="X44" s="86"/>
      <c r="Y44" s="86"/>
    </row>
    <row r="45" spans="1:25" ht="15">
      <c r="A45" s="63"/>
      <c r="B45" s="49"/>
      <c r="C45" s="49"/>
      <c r="D45" s="49"/>
      <c r="E45" s="69"/>
      <c r="F45" s="46"/>
      <c r="G45" s="124"/>
      <c r="H45" s="124"/>
      <c r="I45" s="124"/>
      <c r="J45" s="124"/>
      <c r="K45" s="19"/>
      <c r="L45" s="19"/>
      <c r="M45" s="46"/>
      <c r="N45" s="46"/>
      <c r="O45" s="46"/>
      <c r="P45" s="46"/>
      <c r="Q45" s="46"/>
      <c r="R45" s="46"/>
      <c r="S45" s="46"/>
      <c r="T45" s="46"/>
      <c r="U45" s="100"/>
      <c r="V45" s="100"/>
      <c r="W45" s="100"/>
      <c r="X45" s="86"/>
      <c r="Y45" s="86"/>
    </row>
    <row r="46" spans="1:25" ht="15">
      <c r="A46" s="63"/>
      <c r="B46" s="49"/>
      <c r="C46" s="49"/>
      <c r="D46" s="49"/>
      <c r="E46" s="69"/>
      <c r="F46" s="46"/>
      <c r="G46" s="124"/>
      <c r="H46" s="124"/>
      <c r="I46" s="124"/>
      <c r="J46" s="124"/>
      <c r="K46" s="19"/>
      <c r="L46" s="19"/>
      <c r="M46" s="46"/>
      <c r="N46" s="46"/>
      <c r="O46" s="46"/>
      <c r="P46" s="46"/>
      <c r="Q46" s="46"/>
      <c r="R46" s="46"/>
      <c r="S46" s="46"/>
      <c r="T46" s="46"/>
      <c r="U46" s="100"/>
      <c r="V46" s="100"/>
      <c r="W46" s="100"/>
      <c r="X46" s="86"/>
      <c r="Y46" s="86"/>
    </row>
    <row r="47" spans="1:25" ht="15">
      <c r="A47" s="63"/>
      <c r="B47" s="49"/>
      <c r="C47" s="49"/>
      <c r="D47" s="49"/>
      <c r="E47" s="69"/>
      <c r="F47" s="46"/>
      <c r="G47" s="124"/>
      <c r="H47" s="124"/>
      <c r="I47" s="124"/>
      <c r="J47" s="124"/>
      <c r="K47" s="19"/>
      <c r="L47" s="19"/>
      <c r="M47" s="46"/>
      <c r="N47" s="46"/>
      <c r="O47" s="46"/>
      <c r="P47" s="46"/>
      <c r="Q47" s="46"/>
      <c r="R47" s="46"/>
      <c r="S47" s="46"/>
      <c r="T47" s="46"/>
      <c r="U47" s="100"/>
      <c r="V47" s="100"/>
      <c r="W47" s="100"/>
      <c r="X47" s="86"/>
      <c r="Y47" s="86"/>
    </row>
    <row r="48" spans="1:25" ht="15">
      <c r="A48" s="63"/>
      <c r="B48" s="49"/>
      <c r="C48" s="49"/>
      <c r="D48" s="49"/>
      <c r="E48" s="69"/>
      <c r="F48" s="46"/>
      <c r="G48" s="124"/>
      <c r="H48" s="124"/>
      <c r="I48" s="124"/>
      <c r="J48" s="124"/>
      <c r="K48" s="19"/>
      <c r="L48" s="19"/>
      <c r="M48" s="46"/>
      <c r="N48" s="46"/>
      <c r="O48" s="46"/>
      <c r="P48" s="46"/>
      <c r="Q48" s="46"/>
      <c r="R48" s="46"/>
      <c r="S48" s="46"/>
      <c r="T48" s="46"/>
      <c r="U48" s="100"/>
      <c r="V48" s="100"/>
      <c r="W48" s="100"/>
      <c r="X48" s="86"/>
      <c r="Y48" s="86"/>
    </row>
    <row r="49" spans="1:25" ht="15">
      <c r="A49" s="63"/>
      <c r="B49" s="49"/>
      <c r="C49" s="49"/>
      <c r="D49" s="49"/>
      <c r="E49" s="69"/>
      <c r="F49" s="46"/>
      <c r="G49" s="124"/>
      <c r="H49" s="124"/>
      <c r="I49" s="124"/>
      <c r="J49" s="124"/>
      <c r="K49" s="19"/>
      <c r="L49" s="19"/>
      <c r="M49" s="46"/>
      <c r="N49" s="46"/>
      <c r="O49" s="46"/>
      <c r="P49" s="46"/>
      <c r="Q49" s="46"/>
      <c r="R49" s="46"/>
      <c r="S49" s="46"/>
      <c r="T49" s="46"/>
      <c r="U49" s="100"/>
      <c r="V49" s="100"/>
      <c r="W49" s="100"/>
      <c r="X49" s="86"/>
      <c r="Y49" s="86"/>
    </row>
    <row r="50" spans="1:25" ht="15">
      <c r="A50" s="63"/>
      <c r="B50" s="49"/>
      <c r="C50" s="49"/>
      <c r="D50" s="49"/>
      <c r="E50" s="69"/>
      <c r="F50" s="46"/>
      <c r="G50" s="124"/>
      <c r="H50" s="124"/>
      <c r="I50" s="124"/>
      <c r="J50" s="124"/>
      <c r="K50" s="19"/>
      <c r="L50" s="19"/>
      <c r="M50" s="46"/>
      <c r="N50" s="46"/>
      <c r="O50" s="46"/>
      <c r="P50" s="46"/>
      <c r="Q50" s="46"/>
      <c r="R50" s="46"/>
      <c r="S50" s="46"/>
      <c r="T50" s="46"/>
      <c r="U50" s="100"/>
      <c r="V50" s="100"/>
      <c r="W50" s="100"/>
      <c r="X50" s="86"/>
      <c r="Y50" s="86"/>
    </row>
    <row r="51" spans="1:25" ht="15">
      <c r="A51" s="63"/>
      <c r="B51" s="49"/>
      <c r="C51" s="49"/>
      <c r="D51" s="49"/>
      <c r="E51" s="69"/>
      <c r="F51" s="46"/>
      <c r="G51" s="124"/>
      <c r="H51" s="124"/>
      <c r="I51" s="124"/>
      <c r="J51" s="124"/>
      <c r="K51" s="19"/>
      <c r="L51" s="19"/>
      <c r="M51" s="46"/>
      <c r="N51" s="46"/>
      <c r="O51" s="46"/>
      <c r="P51" s="46"/>
      <c r="Q51" s="46"/>
      <c r="R51" s="46"/>
      <c r="S51" s="46"/>
      <c r="T51" s="46"/>
      <c r="U51" s="100"/>
      <c r="V51" s="100"/>
      <c r="W51" s="100"/>
      <c r="X51" s="86"/>
      <c r="Y51" s="86"/>
    </row>
    <row r="52" spans="1:25" ht="15">
      <c r="A52" s="63"/>
      <c r="B52" s="49"/>
      <c r="C52" s="49"/>
      <c r="D52" s="49"/>
      <c r="E52" s="69"/>
      <c r="F52" s="46"/>
      <c r="G52" s="124"/>
      <c r="H52" s="124"/>
      <c r="I52" s="124"/>
      <c r="J52" s="124"/>
      <c r="K52" s="19"/>
      <c r="L52" s="19"/>
      <c r="M52" s="46"/>
      <c r="N52" s="46"/>
      <c r="O52" s="46"/>
      <c r="P52" s="46"/>
      <c r="Q52" s="46"/>
      <c r="R52" s="46"/>
      <c r="S52" s="46"/>
      <c r="T52" s="46"/>
      <c r="U52" s="100"/>
      <c r="V52" s="100"/>
      <c r="W52" s="100"/>
      <c r="X52" s="86"/>
      <c r="Y52" s="86"/>
    </row>
    <row r="53" spans="1:25" ht="15">
      <c r="A53" s="63"/>
      <c r="B53" s="49"/>
      <c r="C53" s="49"/>
      <c r="D53" s="49"/>
      <c r="E53" s="69"/>
      <c r="F53" s="46"/>
      <c r="G53" s="124"/>
      <c r="H53" s="124"/>
      <c r="I53" s="124"/>
      <c r="J53" s="124"/>
      <c r="K53" s="19"/>
      <c r="L53" s="19"/>
      <c r="M53" s="46"/>
      <c r="N53" s="46"/>
      <c r="O53" s="46"/>
      <c r="P53" s="46"/>
      <c r="Q53" s="46"/>
      <c r="R53" s="46"/>
      <c r="S53" s="46"/>
      <c r="T53" s="46"/>
      <c r="U53" s="100"/>
      <c r="V53" s="100"/>
      <c r="W53" s="100"/>
      <c r="X53" s="86"/>
      <c r="Y53" s="86"/>
    </row>
    <row r="54" spans="1:25" ht="15">
      <c r="A54" s="63"/>
      <c r="B54" s="49"/>
      <c r="C54" s="49"/>
      <c r="D54" s="49"/>
      <c r="E54" s="69"/>
      <c r="F54" s="46"/>
      <c r="G54" s="124"/>
      <c r="H54" s="124"/>
      <c r="I54" s="124"/>
      <c r="J54" s="124"/>
      <c r="K54" s="19"/>
      <c r="L54" s="19"/>
      <c r="M54" s="46"/>
      <c r="N54" s="46"/>
      <c r="O54" s="46"/>
      <c r="P54" s="46"/>
      <c r="Q54" s="46"/>
      <c r="R54" s="46"/>
      <c r="S54" s="46"/>
      <c r="T54" s="46"/>
      <c r="U54" s="100"/>
      <c r="V54" s="100"/>
      <c r="W54" s="100"/>
      <c r="X54" s="86"/>
      <c r="Y54" s="86"/>
    </row>
    <row r="55" spans="1:25" ht="15">
      <c r="A55" s="63"/>
      <c r="B55" s="49"/>
      <c r="C55" s="49"/>
      <c r="D55" s="49"/>
      <c r="E55" s="69"/>
      <c r="F55" s="46"/>
      <c r="G55" s="124"/>
      <c r="H55" s="124"/>
      <c r="I55" s="124"/>
      <c r="J55" s="124"/>
      <c r="K55" s="19"/>
      <c r="L55" s="19"/>
      <c r="M55" s="46"/>
      <c r="N55" s="46"/>
      <c r="O55" s="46"/>
      <c r="P55" s="46"/>
      <c r="Q55" s="46"/>
      <c r="R55" s="46"/>
      <c r="S55" s="46"/>
      <c r="T55" s="46"/>
      <c r="U55" s="100"/>
      <c r="V55" s="100"/>
      <c r="W55" s="100"/>
      <c r="X55" s="86"/>
      <c r="Y55" s="86"/>
    </row>
    <row r="56" spans="1:25" ht="15">
      <c r="A56" s="63"/>
      <c r="B56" s="49"/>
      <c r="C56" s="49"/>
      <c r="D56" s="49"/>
      <c r="E56" s="69"/>
      <c r="F56" s="46"/>
      <c r="G56" s="124"/>
      <c r="H56" s="124"/>
      <c r="I56" s="124"/>
      <c r="J56" s="124"/>
      <c r="K56" s="19"/>
      <c r="L56" s="19"/>
      <c r="M56" s="46"/>
      <c r="N56" s="46"/>
      <c r="O56" s="46"/>
      <c r="P56" s="46"/>
      <c r="Q56" s="46"/>
      <c r="R56" s="46"/>
      <c r="S56" s="46"/>
      <c r="T56" s="46"/>
      <c r="U56" s="100"/>
      <c r="V56" s="100"/>
      <c r="W56" s="100"/>
      <c r="X56" s="86"/>
      <c r="Y56" s="86"/>
    </row>
    <row r="57" spans="1:25" ht="15">
      <c r="A57" s="63"/>
      <c r="B57" s="49"/>
      <c r="C57" s="49"/>
      <c r="D57" s="49"/>
      <c r="E57" s="69"/>
      <c r="F57" s="46"/>
      <c r="G57" s="124"/>
      <c r="H57" s="124"/>
      <c r="I57" s="124"/>
      <c r="J57" s="124"/>
      <c r="K57" s="19"/>
      <c r="L57" s="19"/>
      <c r="M57" s="46"/>
      <c r="N57" s="46"/>
      <c r="O57" s="46"/>
      <c r="P57" s="46"/>
      <c r="Q57" s="46"/>
      <c r="R57" s="46"/>
      <c r="S57" s="46"/>
      <c r="T57" s="46"/>
      <c r="U57" s="100"/>
      <c r="V57" s="100"/>
      <c r="W57" s="100"/>
      <c r="X57" s="86"/>
      <c r="Y57" s="86"/>
    </row>
    <row r="58" spans="1:25" ht="15">
      <c r="A58" s="63"/>
      <c r="B58" s="49"/>
      <c r="C58" s="49"/>
      <c r="D58" s="49"/>
      <c r="E58" s="69"/>
      <c r="F58" s="46"/>
      <c r="G58" s="124"/>
      <c r="H58" s="124"/>
      <c r="I58" s="124"/>
      <c r="J58" s="124"/>
      <c r="K58" s="19"/>
      <c r="L58" s="19"/>
      <c r="M58" s="46"/>
      <c r="N58" s="46"/>
      <c r="O58" s="46"/>
      <c r="P58" s="46"/>
      <c r="Q58" s="46"/>
      <c r="R58" s="46"/>
      <c r="S58" s="46"/>
      <c r="T58" s="46"/>
      <c r="U58" s="100"/>
      <c r="V58" s="100"/>
      <c r="W58" s="100"/>
      <c r="X58" s="86"/>
      <c r="Y58" s="86"/>
    </row>
    <row r="59" spans="1:25" ht="15">
      <c r="A59" s="63"/>
      <c r="B59" s="49"/>
      <c r="C59" s="49"/>
      <c r="D59" s="49"/>
      <c r="E59" s="69"/>
      <c r="F59" s="46"/>
      <c r="G59" s="124"/>
      <c r="H59" s="124"/>
      <c r="I59" s="124"/>
      <c r="J59" s="124"/>
      <c r="K59" s="19"/>
      <c r="L59" s="19"/>
      <c r="M59" s="46"/>
      <c r="N59" s="46"/>
      <c r="O59" s="46"/>
      <c r="P59" s="46"/>
      <c r="Q59" s="46"/>
      <c r="R59" s="46"/>
      <c r="S59" s="46"/>
      <c r="T59" s="46"/>
      <c r="U59" s="100"/>
      <c r="V59" s="100"/>
      <c r="W59" s="100"/>
      <c r="X59" s="86"/>
      <c r="Y59" s="86"/>
    </row>
    <row r="60" spans="1:25" ht="15">
      <c r="A60" s="63"/>
      <c r="B60" s="49"/>
      <c r="C60" s="49"/>
      <c r="D60" s="49"/>
      <c r="E60" s="69"/>
      <c r="F60" s="46"/>
      <c r="G60" s="124"/>
      <c r="H60" s="124"/>
      <c r="I60" s="124"/>
      <c r="J60" s="124"/>
      <c r="K60" s="19"/>
      <c r="L60" s="19"/>
      <c r="M60" s="46"/>
      <c r="N60" s="46"/>
      <c r="O60" s="46"/>
      <c r="P60" s="46"/>
      <c r="Q60" s="46"/>
      <c r="R60" s="46"/>
      <c r="S60" s="46"/>
      <c r="T60" s="46"/>
      <c r="U60" s="100"/>
      <c r="V60" s="100"/>
      <c r="W60" s="100"/>
      <c r="X60" s="86"/>
      <c r="Y60" s="86"/>
    </row>
    <row r="61" spans="1:25" ht="15">
      <c r="A61" s="63"/>
      <c r="B61" s="49"/>
      <c r="C61" s="49"/>
      <c r="D61" s="49"/>
      <c r="E61" s="69"/>
      <c r="F61" s="46"/>
      <c r="G61" s="124"/>
      <c r="H61" s="124"/>
      <c r="I61" s="124"/>
      <c r="J61" s="124"/>
      <c r="K61" s="19"/>
      <c r="L61" s="19"/>
      <c r="M61" s="46"/>
      <c r="N61" s="46"/>
      <c r="O61" s="46"/>
      <c r="P61" s="46"/>
      <c r="Q61" s="46"/>
      <c r="R61" s="46"/>
      <c r="S61" s="46"/>
      <c r="T61" s="46"/>
      <c r="U61" s="100"/>
      <c r="V61" s="100"/>
      <c r="W61" s="100"/>
      <c r="X61" s="86"/>
      <c r="Y61" s="86"/>
    </row>
    <row r="62" spans="1:25" ht="15">
      <c r="A62" s="63"/>
      <c r="B62" s="49"/>
      <c r="C62" s="49"/>
      <c r="D62" s="49"/>
      <c r="E62" s="69"/>
      <c r="F62" s="46"/>
      <c r="G62" s="124"/>
      <c r="H62" s="124"/>
      <c r="I62" s="124"/>
      <c r="J62" s="124"/>
      <c r="K62" s="19"/>
      <c r="L62" s="19"/>
      <c r="M62" s="46"/>
      <c r="N62" s="46"/>
      <c r="O62" s="46"/>
      <c r="P62" s="46"/>
      <c r="Q62" s="46"/>
      <c r="R62" s="46"/>
      <c r="S62" s="46"/>
      <c r="T62" s="46"/>
      <c r="U62" s="100"/>
      <c r="V62" s="100"/>
      <c r="W62" s="100"/>
      <c r="X62" s="86"/>
      <c r="Y62" s="86"/>
    </row>
    <row r="63" spans="1:25" ht="15">
      <c r="A63" s="127"/>
      <c r="B63" s="107"/>
      <c r="C63" s="107"/>
      <c r="D63" s="107"/>
      <c r="E63" s="134"/>
      <c r="F63" s="105"/>
      <c r="G63" s="55"/>
      <c r="H63" s="55"/>
      <c r="I63" s="55"/>
      <c r="J63" s="55"/>
      <c r="K63" s="79"/>
      <c r="L63" s="79"/>
      <c r="M63" s="105"/>
      <c r="N63" s="105"/>
      <c r="O63" s="105"/>
      <c r="P63" s="105"/>
      <c r="Q63" s="105"/>
      <c r="R63" s="105"/>
      <c r="S63" s="105"/>
      <c r="T63" s="105"/>
      <c r="U63" s="29"/>
      <c r="V63" s="29"/>
      <c r="W63" s="29"/>
      <c r="X63" s="20"/>
      <c r="Y63" s="20"/>
    </row>
    <row r="64" spans="1:25" ht="18" customHeight="1">
      <c r="A64" s="114"/>
      <c r="B64" s="99"/>
      <c r="C64" s="77" t="s">
        <v>102</v>
      </c>
      <c r="D64" s="112" t="s">
        <v>298</v>
      </c>
      <c r="E64" s="121"/>
      <c r="F64" s="96"/>
      <c r="G64" s="47"/>
      <c r="H64" s="47"/>
      <c r="I64" s="47"/>
      <c r="J64" s="47"/>
      <c r="K64" s="68"/>
      <c r="L64" s="68"/>
      <c r="M64" s="96"/>
      <c r="N64" s="96"/>
      <c r="O64" s="96"/>
      <c r="P64" s="96"/>
      <c r="Q64" s="109">
        <f>SUM(Q7:Q41)</f>
        <v>27981973</v>
      </c>
      <c r="R64" s="109">
        <f>SUM(R7:R41)</f>
        <v>0</v>
      </c>
      <c r="S64" s="109">
        <f>SUM(S7:S41)</f>
        <v>16856395</v>
      </c>
      <c r="T64" s="109">
        <f>SUM(T7:T41)</f>
        <v>2610678</v>
      </c>
      <c r="U64" s="16"/>
      <c r="V64" s="16"/>
      <c r="W64" s="16"/>
      <c r="X64" s="81"/>
      <c r="Y64" s="129"/>
    </row>
    <row r="65" spans="1:25" ht="18" customHeight="1">
      <c r="A65" s="128"/>
      <c r="B65" s="104"/>
      <c r="C65" s="104"/>
      <c r="D65" s="104"/>
      <c r="E65" s="128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93"/>
      <c r="Y65" s="93"/>
    </row>
    <row r="66" spans="1:25" ht="18" customHeight="1">
      <c r="A66" s="128"/>
      <c r="B66" s="104"/>
      <c r="C66" s="142" t="s">
        <v>330</v>
      </c>
      <c r="D66" s="142"/>
      <c r="E66" s="128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47"/>
      <c r="Q66" s="147"/>
      <c r="R66" s="147"/>
      <c r="S66" s="147"/>
      <c r="T66" s="147"/>
      <c r="U66" s="25"/>
      <c r="V66" s="25"/>
      <c r="W66" s="25"/>
      <c r="X66" s="93"/>
      <c r="Y66" s="93"/>
    </row>
    <row r="67" spans="1:25" ht="18" customHeight="1">
      <c r="A67" s="128"/>
      <c r="B67" s="104"/>
      <c r="C67" s="67" t="s">
        <v>330</v>
      </c>
      <c r="D67" s="104"/>
      <c r="E67" s="128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93"/>
      <c r="Y67" s="93"/>
    </row>
    <row r="68" spans="1:25" ht="18" customHeight="1">
      <c r="A68" s="128"/>
      <c r="B68" s="104"/>
      <c r="C68" s="67" t="s">
        <v>330</v>
      </c>
      <c r="D68" s="104"/>
      <c r="E68" s="128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93"/>
      <c r="Y68" s="93"/>
    </row>
    <row r="69" spans="1:25" ht="18" customHeight="1">
      <c r="A69" s="128"/>
      <c r="B69" s="104"/>
      <c r="C69" s="67" t="s">
        <v>330</v>
      </c>
      <c r="D69" s="104"/>
      <c r="E69" s="128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93"/>
      <c r="Y69" s="93"/>
    </row>
    <row r="70" spans="1:25" ht="18" customHeight="1">
      <c r="A70" s="128"/>
      <c r="B70" s="104"/>
      <c r="C70" s="67" t="s">
        <v>330</v>
      </c>
      <c r="D70" s="104"/>
      <c r="E70" s="12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93"/>
      <c r="Y70" s="93"/>
    </row>
    <row r="71" spans="1:25" ht="18" customHeight="1">
      <c r="A71" s="128"/>
      <c r="B71" s="104"/>
      <c r="C71" s="67" t="s">
        <v>330</v>
      </c>
      <c r="D71" s="104"/>
      <c r="E71" s="128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145"/>
      <c r="Q71" s="145"/>
      <c r="R71" s="145"/>
      <c r="S71" s="145"/>
      <c r="T71" s="145"/>
      <c r="U71" s="25"/>
      <c r="V71" s="25"/>
      <c r="W71" s="25"/>
      <c r="X71" s="93"/>
      <c r="Y71" s="93"/>
    </row>
    <row r="72" spans="1:25" ht="18" customHeight="1">
      <c r="A72" s="128"/>
      <c r="B72" s="104"/>
      <c r="C72" s="67" t="s">
        <v>330</v>
      </c>
      <c r="D72" s="104"/>
      <c r="E72" s="128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145"/>
      <c r="Q72" s="145"/>
      <c r="R72" s="145"/>
      <c r="S72" s="145"/>
      <c r="T72" s="145"/>
      <c r="U72" s="25"/>
      <c r="V72" s="25"/>
      <c r="W72" s="25"/>
      <c r="X72" s="93"/>
      <c r="Y72" s="93"/>
    </row>
    <row r="73" spans="1:25" ht="16.5" customHeight="1">
      <c r="A73" s="128"/>
      <c r="B73" s="104"/>
      <c r="C73" s="67" t="s">
        <v>330</v>
      </c>
      <c r="D73" s="104"/>
      <c r="E73" s="128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93"/>
      <c r="Y73" s="93"/>
    </row>
  </sheetData>
  <sheetProtection/>
  <mergeCells count="22">
    <mergeCell ref="P72:T72"/>
    <mergeCell ref="U4:W4"/>
    <mergeCell ref="X4:X5"/>
    <mergeCell ref="Y4:Y5"/>
    <mergeCell ref="C66:D66"/>
    <mergeCell ref="P66:T66"/>
    <mergeCell ref="P71:T71"/>
    <mergeCell ref="G4:I4"/>
    <mergeCell ref="J4:J5"/>
    <mergeCell ref="K4:K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L4:L5"/>
    <mergeCell ref="M4:P4"/>
    <mergeCell ref="Q4:T4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3.57421875" style="130" customWidth="1"/>
    <col min="2" max="2" width="3.7109375" style="130" customWidth="1"/>
    <col min="3" max="3" width="33.00390625" style="130" customWidth="1"/>
    <col min="4" max="4" width="25.421875" style="130" customWidth="1"/>
    <col min="5" max="5" width="24.00390625" style="130" customWidth="1"/>
    <col min="6" max="6" width="18.421875" style="130" customWidth="1"/>
    <col min="7" max="8" width="5.28125" style="130" customWidth="1"/>
    <col min="9" max="10" width="5.421875" style="130" customWidth="1"/>
    <col min="11" max="11" width="5.57421875" style="130" customWidth="1"/>
    <col min="12" max="13" width="5.00390625" style="130" customWidth="1"/>
    <col min="14" max="14" width="10.57421875" style="130" customWidth="1"/>
    <col min="15" max="15" width="5.28125" style="130" customWidth="1"/>
    <col min="16" max="16384" width="9.140625" style="130" customWidth="1"/>
  </cols>
  <sheetData>
    <row r="1" spans="1:15" ht="17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8" customHeight="1">
      <c r="A2" s="147" t="s">
        <v>129</v>
      </c>
      <c r="B2" s="147"/>
      <c r="C2" s="147"/>
      <c r="D2" s="147"/>
      <c r="E2" s="104"/>
      <c r="F2" s="147" t="s">
        <v>217</v>
      </c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8" customHeight="1">
      <c r="A3" s="165" t="s">
        <v>601</v>
      </c>
      <c r="B3" s="165"/>
      <c r="C3" s="165"/>
      <c r="D3" s="165"/>
      <c r="E3" s="104"/>
      <c r="F3" s="147" t="s">
        <v>258</v>
      </c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7.25" customHeight="1">
      <c r="A4" s="145" t="s">
        <v>371</v>
      </c>
      <c r="B4" s="145"/>
      <c r="C4" s="145"/>
      <c r="D4" s="145"/>
      <c r="E4" s="104"/>
      <c r="F4" s="145" t="s">
        <v>276</v>
      </c>
      <c r="G4" s="145"/>
      <c r="H4" s="145"/>
      <c r="I4" s="145"/>
      <c r="J4" s="145"/>
      <c r="K4" s="145"/>
      <c r="L4" s="145"/>
      <c r="M4" s="145"/>
      <c r="N4" s="145"/>
      <c r="O4" s="145"/>
    </row>
    <row r="5" spans="1:15" ht="21" customHeight="1">
      <c r="A5" s="169" t="s">
        <v>29</v>
      </c>
      <c r="B5" s="169"/>
      <c r="C5" s="169"/>
      <c r="D5" s="169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7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7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7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7.2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17.2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17.2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17.2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32.25" customHeight="1">
      <c r="A13" s="166" t="s">
        <v>480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5" ht="17.2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38.25" customHeight="1">
      <c r="A15" s="104"/>
      <c r="B15" s="104"/>
      <c r="C15" s="104"/>
      <c r="D15" s="80" t="s">
        <v>323</v>
      </c>
      <c r="E15" s="160" t="str">
        <f>IF(ISNUMBER(SEARCH(":",'Công trình'!A2)),TRIM(RIGHT('Công trình'!A2,LEN('Công trình'!A2)-FIND(":",'Công trình'!A2))),'Công trình'!A2)</f>
        <v>Sửa chữa nâng cấp mương suối Tú, bản Chại, xã Hiền Chung, huyện Quan Hóa, tỉnh Thanh Hóa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1:15" ht="21.75" customHeight="1">
      <c r="A16" s="104"/>
      <c r="B16" s="104"/>
      <c r="C16" s="104"/>
      <c r="D16" s="80" t="s">
        <v>199</v>
      </c>
      <c r="E16" s="160" t="s">
        <v>341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1:15" ht="21.75" customHeight="1">
      <c r="A17" s="104"/>
      <c r="B17" s="104"/>
      <c r="C17" s="104"/>
      <c r="D17" s="80" t="s">
        <v>165</v>
      </c>
      <c r="E17" s="160" t="s">
        <v>556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21.75" customHeight="1">
      <c r="A18" s="104"/>
      <c r="B18" s="104"/>
      <c r="C18" s="104"/>
      <c r="D18" s="80" t="s">
        <v>238</v>
      </c>
      <c r="E18" s="160" t="s">
        <v>553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t="17.2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ht="21" customHeight="1">
      <c r="A20" s="104"/>
      <c r="B20" s="104"/>
      <c r="C20" s="104"/>
      <c r="D20" s="40" t="s">
        <v>367</v>
      </c>
      <c r="E20" s="52">
        <f>'PHU LUC'!J72</f>
        <v>90000000</v>
      </c>
      <c r="F20" s="168" t="s">
        <v>232</v>
      </c>
      <c r="G20" s="168"/>
      <c r="H20" s="104"/>
      <c r="I20" s="104"/>
      <c r="J20" s="104"/>
      <c r="K20" s="104"/>
      <c r="L20" s="104"/>
      <c r="M20" s="104"/>
      <c r="N20" s="104"/>
      <c r="O20" s="104"/>
    </row>
    <row r="21" spans="1:15" ht="21" customHeight="1">
      <c r="A21" s="104"/>
      <c r="B21" s="104"/>
      <c r="C21" s="104"/>
      <c r="D21" s="168" t="e">
        <f>TienBangChu(E20)</f>
        <v>#NAME?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04"/>
    </row>
    <row r="22" spans="1:15" ht="17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17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9.5" customHeight="1">
      <c r="A24" s="104"/>
      <c r="B24" s="104"/>
      <c r="C24" s="104"/>
      <c r="D24" s="104"/>
      <c r="E24" s="104"/>
      <c r="F24" s="104"/>
      <c r="G24" s="169" t="s">
        <v>2</v>
      </c>
      <c r="H24" s="169"/>
      <c r="I24" s="169"/>
      <c r="J24" s="169"/>
      <c r="K24" s="169"/>
      <c r="L24" s="169"/>
      <c r="M24" s="169"/>
      <c r="N24" s="169"/>
      <c r="O24" s="104"/>
    </row>
    <row r="25" spans="1:15" ht="19.5" customHeight="1">
      <c r="A25" s="104"/>
      <c r="B25" s="104"/>
      <c r="C25" s="104"/>
      <c r="D25" s="104"/>
      <c r="E25" s="104"/>
      <c r="F25" s="104"/>
      <c r="G25" s="150" t="s">
        <v>534</v>
      </c>
      <c r="H25" s="150"/>
      <c r="I25" s="150"/>
      <c r="J25" s="150"/>
      <c r="K25" s="150"/>
      <c r="L25" s="150"/>
      <c r="M25" s="150"/>
      <c r="N25" s="150"/>
      <c r="O25" s="104"/>
    </row>
    <row r="26" spans="1:15" ht="17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ht="17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ht="17.2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7.2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ht="55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ht="19.5" customHeight="1">
      <c r="A31" s="108"/>
      <c r="B31" s="104"/>
      <c r="C31" s="104"/>
      <c r="D31" s="104"/>
      <c r="E31" s="104"/>
      <c r="F31" s="104"/>
      <c r="G31" s="169" t="s">
        <v>94</v>
      </c>
      <c r="H31" s="169"/>
      <c r="I31" s="169"/>
      <c r="J31" s="169"/>
      <c r="K31" s="169"/>
      <c r="L31" s="169"/>
      <c r="M31" s="169"/>
      <c r="N31" s="169"/>
      <c r="O31" s="104"/>
    </row>
    <row r="32" spans="1:15" ht="17.2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</sheetData>
  <sheetProtection/>
  <mergeCells count="17">
    <mergeCell ref="F20:G20"/>
    <mergeCell ref="D21:N21"/>
    <mergeCell ref="G24:N24"/>
    <mergeCell ref="G25:N25"/>
    <mergeCell ref="G31:N31"/>
    <mergeCell ref="A5:D5"/>
    <mergeCell ref="A13:O13"/>
    <mergeCell ref="E15:O15"/>
    <mergeCell ref="E16:O16"/>
    <mergeCell ref="E17:O17"/>
    <mergeCell ref="E18:O18"/>
    <mergeCell ref="A2:D2"/>
    <mergeCell ref="F2:O2"/>
    <mergeCell ref="A3:D3"/>
    <mergeCell ref="F3:O3"/>
    <mergeCell ref="A4:D4"/>
    <mergeCell ref="F4:O4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130" customWidth="1"/>
  </cols>
  <sheetData/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130" customWidth="1"/>
  </cols>
  <sheetData/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130" customWidth="1"/>
  </cols>
  <sheetData/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showZeros="0" zoomScalePageLayoutView="0" workbookViewId="0" topLeftCell="A1">
      <selection activeCell="A1" sqref="A1:Q1"/>
    </sheetView>
  </sheetViews>
  <sheetFormatPr defaultColWidth="9.140625" defaultRowHeight="15"/>
  <cols>
    <col min="1" max="1" width="6.140625" style="130" customWidth="1"/>
    <col min="2" max="2" width="10.8515625" style="130" customWidth="1"/>
    <col min="3" max="3" width="11.140625" style="130" hidden="1" customWidth="1"/>
    <col min="4" max="4" width="29.28125" style="130" customWidth="1"/>
    <col min="5" max="5" width="8.28125" style="130" customWidth="1"/>
    <col min="6" max="6" width="36.8515625" style="130" customWidth="1"/>
    <col min="7" max="7" width="13.57421875" style="130" customWidth="1"/>
    <col min="8" max="8" width="8.421875" style="130" customWidth="1"/>
    <col min="9" max="9" width="8.8515625" style="130" customWidth="1"/>
    <col min="10" max="10" width="9.140625" style="130" customWidth="1"/>
    <col min="11" max="11" width="11.140625" style="130" customWidth="1"/>
    <col min="12" max="12" width="12.28125" style="130" customWidth="1"/>
    <col min="13" max="13" width="9.28125" style="130" customWidth="1"/>
    <col min="14" max="14" width="10.00390625" style="130" customWidth="1"/>
    <col min="15" max="16" width="12.00390625" style="130" customWidth="1"/>
    <col min="17" max="17" width="12.57421875" style="130" customWidth="1"/>
    <col min="18" max="16384" width="9.140625" style="130" customWidth="1"/>
  </cols>
  <sheetData>
    <row r="1" spans="1:17" ht="22.5" customHeight="1">
      <c r="A1" s="149" t="s">
        <v>398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8" customHeight="1">
      <c r="A2" s="147" t="s">
        <v>124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9.5" customHeight="1">
      <c r="A3" s="150" t="str">
        <f>'Công trình'!A2</f>
        <v>Công trình: Sửa chữa nâng cấp mương suối Tú, bản Chại, xã Hiền Chung, huyện Quan Hóa, tỉnh Thanh Hóa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6.5" customHeight="1">
      <c r="A4" s="128"/>
      <c r="B4" s="104"/>
      <c r="C4" s="25"/>
      <c r="D4" s="104"/>
      <c r="E4" s="128"/>
      <c r="F4" s="104"/>
      <c r="G4" s="25"/>
      <c r="H4" s="25"/>
      <c r="I4" s="25"/>
      <c r="J4" s="104"/>
      <c r="K4" s="25"/>
      <c r="L4" s="25"/>
      <c r="M4" s="25"/>
      <c r="N4" s="25"/>
      <c r="O4" s="25"/>
      <c r="P4" s="25"/>
      <c r="Q4" s="25"/>
    </row>
    <row r="5" spans="1:17" ht="18.75" customHeight="1">
      <c r="A5" s="143" t="s">
        <v>576</v>
      </c>
      <c r="B5" s="137" t="s">
        <v>178</v>
      </c>
      <c r="C5" s="5" t="s">
        <v>605</v>
      </c>
      <c r="D5" s="137" t="s">
        <v>439</v>
      </c>
      <c r="E5" s="137" t="s">
        <v>444</v>
      </c>
      <c r="F5" s="137" t="s">
        <v>166</v>
      </c>
      <c r="G5" s="137" t="s">
        <v>613</v>
      </c>
      <c r="H5" s="137" t="s">
        <v>73</v>
      </c>
      <c r="I5" s="137" t="s">
        <v>578</v>
      </c>
      <c r="J5" s="137" t="s">
        <v>399</v>
      </c>
      <c r="K5" s="137" t="s">
        <v>145</v>
      </c>
      <c r="L5" s="138" t="s">
        <v>530</v>
      </c>
      <c r="M5" s="137" t="s">
        <v>531</v>
      </c>
      <c r="N5" s="138" t="s">
        <v>347</v>
      </c>
      <c r="O5" s="138" t="s">
        <v>261</v>
      </c>
      <c r="P5" s="138" t="s">
        <v>116</v>
      </c>
      <c r="Q5" s="138" t="s">
        <v>421</v>
      </c>
    </row>
    <row r="6" spans="1:17" ht="16.5" customHeight="1">
      <c r="A6" s="143"/>
      <c r="B6" s="137"/>
      <c r="C6" s="16"/>
      <c r="D6" s="137"/>
      <c r="E6" s="137"/>
      <c r="F6" s="137"/>
      <c r="G6" s="137"/>
      <c r="H6" s="137"/>
      <c r="I6" s="137"/>
      <c r="J6" s="137"/>
      <c r="K6" s="137"/>
      <c r="L6" s="138"/>
      <c r="M6" s="137"/>
      <c r="N6" s="138"/>
      <c r="O6" s="138"/>
      <c r="P6" s="138"/>
      <c r="Q6" s="138"/>
    </row>
    <row r="7" spans="1:17" ht="15">
      <c r="A7" s="110">
        <v>1</v>
      </c>
      <c r="B7" s="91" t="s">
        <v>529</v>
      </c>
      <c r="C7" s="12">
        <v>6</v>
      </c>
      <c r="D7" s="91" t="s">
        <v>55</v>
      </c>
      <c r="E7" s="116" t="s">
        <v>559</v>
      </c>
      <c r="F7" s="10"/>
      <c r="G7" s="61"/>
      <c r="H7" s="61">
        <v>3</v>
      </c>
      <c r="I7" s="61"/>
      <c r="J7" s="10" t="s">
        <v>352</v>
      </c>
      <c r="K7" s="12">
        <v>1</v>
      </c>
      <c r="L7" s="8">
        <v>0</v>
      </c>
      <c r="M7" s="61"/>
      <c r="N7" s="8"/>
      <c r="O7" s="88">
        <f aca="true" t="shared" si="0" ref="O7:O30">ROUND((M7*N7)/1,0)</f>
        <v>0</v>
      </c>
      <c r="P7" s="88">
        <f aca="true" t="shared" si="1" ref="P7:P30">ROUND(G7*L7*K7*I7+O7,0)</f>
        <v>0</v>
      </c>
      <c r="Q7" s="88">
        <f aca="true" t="shared" si="2" ref="Q7:Q30">SUM(P7:P7)</f>
        <v>0</v>
      </c>
    </row>
    <row r="8" spans="1:17" ht="30">
      <c r="A8" s="63">
        <v>2</v>
      </c>
      <c r="B8" s="49" t="s">
        <v>192</v>
      </c>
      <c r="C8" s="100">
        <v>7</v>
      </c>
      <c r="D8" s="49" t="s">
        <v>418</v>
      </c>
      <c r="E8" s="69" t="s">
        <v>454</v>
      </c>
      <c r="F8" s="95" t="s">
        <v>262</v>
      </c>
      <c r="G8" s="15">
        <v>1.45</v>
      </c>
      <c r="H8" s="15">
        <v>1</v>
      </c>
      <c r="I8" s="15"/>
      <c r="J8" s="95" t="s">
        <v>352</v>
      </c>
      <c r="K8" s="100">
        <v>1</v>
      </c>
      <c r="L8" s="92">
        <v>0</v>
      </c>
      <c r="M8" s="15"/>
      <c r="N8" s="92"/>
      <c r="O8" s="46">
        <f t="shared" si="0"/>
        <v>0</v>
      </c>
      <c r="P8" s="46">
        <f t="shared" si="1"/>
        <v>0</v>
      </c>
      <c r="Q8" s="46">
        <f t="shared" si="2"/>
        <v>0</v>
      </c>
    </row>
    <row r="9" spans="1:17" ht="30">
      <c r="A9" s="63">
        <v>3</v>
      </c>
      <c r="B9" s="49" t="s">
        <v>500</v>
      </c>
      <c r="C9" s="100">
        <v>35</v>
      </c>
      <c r="D9" s="49" t="s">
        <v>293</v>
      </c>
      <c r="E9" s="69" t="s">
        <v>454</v>
      </c>
      <c r="F9" s="95" t="s">
        <v>226</v>
      </c>
      <c r="G9" s="15">
        <v>1.5</v>
      </c>
      <c r="H9" s="15">
        <v>1</v>
      </c>
      <c r="I9" s="15"/>
      <c r="J9" s="95" t="s">
        <v>352</v>
      </c>
      <c r="K9" s="100">
        <v>1</v>
      </c>
      <c r="L9" s="92">
        <v>0</v>
      </c>
      <c r="M9" s="15"/>
      <c r="N9" s="92"/>
      <c r="O9" s="46">
        <f t="shared" si="0"/>
        <v>0</v>
      </c>
      <c r="P9" s="46">
        <f t="shared" si="1"/>
        <v>0</v>
      </c>
      <c r="Q9" s="46">
        <f t="shared" si="2"/>
        <v>0</v>
      </c>
    </row>
    <row r="10" spans="1:17" ht="30">
      <c r="A10" s="63">
        <v>4</v>
      </c>
      <c r="B10" s="49" t="s">
        <v>494</v>
      </c>
      <c r="C10" s="100">
        <v>36</v>
      </c>
      <c r="D10" s="49" t="s">
        <v>305</v>
      </c>
      <c r="E10" s="69" t="s">
        <v>454</v>
      </c>
      <c r="F10" s="95" t="s">
        <v>236</v>
      </c>
      <c r="G10" s="15">
        <v>1.5</v>
      </c>
      <c r="H10" s="15">
        <v>1</v>
      </c>
      <c r="I10" s="15"/>
      <c r="J10" s="95" t="s">
        <v>352</v>
      </c>
      <c r="K10" s="100">
        <v>1</v>
      </c>
      <c r="L10" s="92">
        <v>0</v>
      </c>
      <c r="M10" s="15"/>
      <c r="N10" s="92"/>
      <c r="O10" s="46">
        <f t="shared" si="0"/>
        <v>0</v>
      </c>
      <c r="P10" s="46">
        <f t="shared" si="1"/>
        <v>0</v>
      </c>
      <c r="Q10" s="46">
        <f t="shared" si="2"/>
        <v>0</v>
      </c>
    </row>
    <row r="11" spans="1:17" ht="30">
      <c r="A11" s="63">
        <v>5</v>
      </c>
      <c r="B11" s="49" t="s">
        <v>602</v>
      </c>
      <c r="C11" s="100">
        <v>31</v>
      </c>
      <c r="D11" s="49" t="s">
        <v>368</v>
      </c>
      <c r="E11" s="69" t="s">
        <v>454</v>
      </c>
      <c r="F11" s="95" t="s">
        <v>337</v>
      </c>
      <c r="G11" s="15">
        <v>1.55</v>
      </c>
      <c r="H11" s="15">
        <v>1</v>
      </c>
      <c r="I11" s="15"/>
      <c r="J11" s="95" t="s">
        <v>352</v>
      </c>
      <c r="K11" s="100">
        <v>1</v>
      </c>
      <c r="L11" s="92">
        <v>0</v>
      </c>
      <c r="M11" s="15"/>
      <c r="N11" s="92"/>
      <c r="O11" s="46">
        <f t="shared" si="0"/>
        <v>0</v>
      </c>
      <c r="P11" s="46">
        <f t="shared" si="1"/>
        <v>0</v>
      </c>
      <c r="Q11" s="46">
        <f t="shared" si="2"/>
        <v>0</v>
      </c>
    </row>
    <row r="12" spans="1:17" ht="30">
      <c r="A12" s="63">
        <v>6</v>
      </c>
      <c r="B12" s="49" t="s">
        <v>489</v>
      </c>
      <c r="C12" s="100">
        <v>8</v>
      </c>
      <c r="D12" s="49" t="s">
        <v>110</v>
      </c>
      <c r="E12" s="69" t="s">
        <v>150</v>
      </c>
      <c r="F12" s="95" t="s">
        <v>548</v>
      </c>
      <c r="G12" s="15">
        <v>0.001</v>
      </c>
      <c r="H12" s="15">
        <v>2</v>
      </c>
      <c r="I12" s="15"/>
      <c r="J12" s="95" t="s">
        <v>352</v>
      </c>
      <c r="K12" s="100">
        <v>1</v>
      </c>
      <c r="L12" s="92">
        <v>0</v>
      </c>
      <c r="M12" s="15"/>
      <c r="N12" s="92"/>
      <c r="O12" s="46">
        <f t="shared" si="0"/>
        <v>0</v>
      </c>
      <c r="P12" s="46">
        <f t="shared" si="1"/>
        <v>0</v>
      </c>
      <c r="Q12" s="46">
        <f t="shared" si="2"/>
        <v>0</v>
      </c>
    </row>
    <row r="13" spans="1:17" ht="30">
      <c r="A13" s="63">
        <v>7</v>
      </c>
      <c r="B13" s="49" t="s">
        <v>424</v>
      </c>
      <c r="C13" s="100">
        <v>30</v>
      </c>
      <c r="D13" s="49" t="s">
        <v>328</v>
      </c>
      <c r="E13" s="69" t="s">
        <v>150</v>
      </c>
      <c r="F13" s="95" t="s">
        <v>75</v>
      </c>
      <c r="G13" s="15">
        <v>0.001</v>
      </c>
      <c r="H13" s="15">
        <v>2</v>
      </c>
      <c r="I13" s="15"/>
      <c r="J13" s="95" t="s">
        <v>352</v>
      </c>
      <c r="K13" s="100">
        <v>1</v>
      </c>
      <c r="L13" s="92">
        <v>0</v>
      </c>
      <c r="M13" s="15"/>
      <c r="N13" s="92"/>
      <c r="O13" s="46">
        <f t="shared" si="0"/>
        <v>0</v>
      </c>
      <c r="P13" s="46">
        <f t="shared" si="1"/>
        <v>0</v>
      </c>
      <c r="Q13" s="46">
        <f t="shared" si="2"/>
        <v>0</v>
      </c>
    </row>
    <row r="14" spans="1:17" ht="15">
      <c r="A14" s="63">
        <v>8</v>
      </c>
      <c r="B14" s="49" t="s">
        <v>297</v>
      </c>
      <c r="C14" s="100">
        <v>42</v>
      </c>
      <c r="D14" s="49" t="s">
        <v>33</v>
      </c>
      <c r="E14" s="69" t="s">
        <v>559</v>
      </c>
      <c r="F14" s="95"/>
      <c r="G14" s="15"/>
      <c r="H14" s="15">
        <v>2</v>
      </c>
      <c r="I14" s="15"/>
      <c r="J14" s="95" t="s">
        <v>352</v>
      </c>
      <c r="K14" s="100">
        <v>1</v>
      </c>
      <c r="L14" s="92">
        <v>0</v>
      </c>
      <c r="M14" s="15"/>
      <c r="N14" s="92"/>
      <c r="O14" s="46">
        <f t="shared" si="0"/>
        <v>0</v>
      </c>
      <c r="P14" s="46">
        <f t="shared" si="1"/>
        <v>0</v>
      </c>
      <c r="Q14" s="46">
        <f t="shared" si="2"/>
        <v>0</v>
      </c>
    </row>
    <row r="15" spans="1:17" ht="15">
      <c r="A15" s="63">
        <v>9</v>
      </c>
      <c r="B15" s="49" t="s">
        <v>285</v>
      </c>
      <c r="C15" s="100">
        <v>9</v>
      </c>
      <c r="D15" s="49" t="s">
        <v>417</v>
      </c>
      <c r="E15" s="69" t="s">
        <v>454</v>
      </c>
      <c r="F15" s="95"/>
      <c r="G15" s="15">
        <v>0.67</v>
      </c>
      <c r="H15" s="15">
        <v>2</v>
      </c>
      <c r="I15" s="15"/>
      <c r="J15" s="95" t="s">
        <v>352</v>
      </c>
      <c r="K15" s="100">
        <v>1</v>
      </c>
      <c r="L15" s="92">
        <v>0</v>
      </c>
      <c r="M15" s="15"/>
      <c r="N15" s="92"/>
      <c r="O15" s="46">
        <f t="shared" si="0"/>
        <v>0</v>
      </c>
      <c r="P15" s="46">
        <f t="shared" si="1"/>
        <v>0</v>
      </c>
      <c r="Q15" s="46">
        <f t="shared" si="2"/>
        <v>0</v>
      </c>
    </row>
    <row r="16" spans="1:17" ht="15">
      <c r="A16" s="63">
        <v>10</v>
      </c>
      <c r="B16" s="49" t="s">
        <v>459</v>
      </c>
      <c r="C16" s="100">
        <v>10</v>
      </c>
      <c r="D16" s="49" t="s">
        <v>423</v>
      </c>
      <c r="E16" s="69" t="s">
        <v>454</v>
      </c>
      <c r="F16" s="95"/>
      <c r="G16" s="15">
        <v>0.67</v>
      </c>
      <c r="H16" s="15">
        <v>2</v>
      </c>
      <c r="I16" s="15"/>
      <c r="J16" s="95" t="s">
        <v>352</v>
      </c>
      <c r="K16" s="100">
        <v>1</v>
      </c>
      <c r="L16" s="92">
        <v>0</v>
      </c>
      <c r="M16" s="15"/>
      <c r="N16" s="92"/>
      <c r="O16" s="46">
        <f t="shared" si="0"/>
        <v>0</v>
      </c>
      <c r="P16" s="46">
        <f t="shared" si="1"/>
        <v>0</v>
      </c>
      <c r="Q16" s="46">
        <f t="shared" si="2"/>
        <v>0</v>
      </c>
    </row>
    <row r="17" spans="1:17" ht="15">
      <c r="A17" s="63">
        <v>11</v>
      </c>
      <c r="B17" s="49" t="s">
        <v>595</v>
      </c>
      <c r="C17" s="100">
        <v>37</v>
      </c>
      <c r="D17" s="49" t="s">
        <v>229</v>
      </c>
      <c r="E17" s="69" t="s">
        <v>454</v>
      </c>
      <c r="F17" s="95"/>
      <c r="G17" s="15">
        <v>0.67</v>
      </c>
      <c r="H17" s="15">
        <v>2</v>
      </c>
      <c r="I17" s="15"/>
      <c r="J17" s="95" t="s">
        <v>352</v>
      </c>
      <c r="K17" s="100">
        <v>1</v>
      </c>
      <c r="L17" s="92">
        <v>0</v>
      </c>
      <c r="M17" s="15"/>
      <c r="N17" s="92"/>
      <c r="O17" s="46">
        <f t="shared" si="0"/>
        <v>0</v>
      </c>
      <c r="P17" s="46">
        <f t="shared" si="1"/>
        <v>0</v>
      </c>
      <c r="Q17" s="46">
        <f t="shared" si="2"/>
        <v>0</v>
      </c>
    </row>
    <row r="18" spans="1:17" ht="30">
      <c r="A18" s="63">
        <v>12</v>
      </c>
      <c r="B18" s="49" t="s">
        <v>519</v>
      </c>
      <c r="C18" s="100">
        <v>11</v>
      </c>
      <c r="D18" s="49" t="s">
        <v>148</v>
      </c>
      <c r="E18" s="69" t="s">
        <v>454</v>
      </c>
      <c r="F18" s="95" t="s">
        <v>86</v>
      </c>
      <c r="G18" s="15">
        <v>0.67</v>
      </c>
      <c r="H18" s="15">
        <v>2</v>
      </c>
      <c r="I18" s="15"/>
      <c r="J18" s="95" t="s">
        <v>352</v>
      </c>
      <c r="K18" s="100">
        <v>1</v>
      </c>
      <c r="L18" s="92">
        <v>0</v>
      </c>
      <c r="M18" s="15"/>
      <c r="N18" s="92"/>
      <c r="O18" s="46">
        <f t="shared" si="0"/>
        <v>0</v>
      </c>
      <c r="P18" s="46">
        <f t="shared" si="1"/>
        <v>0</v>
      </c>
      <c r="Q18" s="46">
        <f t="shared" si="2"/>
        <v>0</v>
      </c>
    </row>
    <row r="19" spans="1:17" ht="15">
      <c r="A19" s="63">
        <v>13</v>
      </c>
      <c r="B19" s="49" t="s">
        <v>545</v>
      </c>
      <c r="C19" s="100">
        <v>38</v>
      </c>
      <c r="D19" s="49" t="s">
        <v>485</v>
      </c>
      <c r="E19" s="69" t="s">
        <v>150</v>
      </c>
      <c r="F19" s="95"/>
      <c r="G19" s="15">
        <v>0.001</v>
      </c>
      <c r="H19" s="15"/>
      <c r="I19" s="15"/>
      <c r="J19" s="95" t="s">
        <v>352</v>
      </c>
      <c r="K19" s="100">
        <v>1</v>
      </c>
      <c r="L19" s="92"/>
      <c r="M19" s="15"/>
      <c r="N19" s="92"/>
      <c r="O19" s="46">
        <f t="shared" si="0"/>
        <v>0</v>
      </c>
      <c r="P19" s="46">
        <f t="shared" si="1"/>
        <v>0</v>
      </c>
      <c r="Q19" s="46">
        <f t="shared" si="2"/>
        <v>0</v>
      </c>
    </row>
    <row r="20" spans="1:17" ht="15">
      <c r="A20" s="63">
        <v>14</v>
      </c>
      <c r="B20" s="49" t="s">
        <v>68</v>
      </c>
      <c r="C20" s="100">
        <v>12</v>
      </c>
      <c r="D20" s="49" t="s">
        <v>216</v>
      </c>
      <c r="E20" s="69" t="s">
        <v>442</v>
      </c>
      <c r="F20" s="95"/>
      <c r="G20" s="15"/>
      <c r="H20" s="15">
        <v>3</v>
      </c>
      <c r="I20" s="15"/>
      <c r="J20" s="95" t="s">
        <v>352</v>
      </c>
      <c r="K20" s="100">
        <v>1</v>
      </c>
      <c r="L20" s="92">
        <v>0</v>
      </c>
      <c r="M20" s="15"/>
      <c r="N20" s="92"/>
      <c r="O20" s="46">
        <f t="shared" si="0"/>
        <v>0</v>
      </c>
      <c r="P20" s="46">
        <f t="shared" si="1"/>
        <v>0</v>
      </c>
      <c r="Q20" s="46">
        <f t="shared" si="2"/>
        <v>0</v>
      </c>
    </row>
    <row r="21" spans="1:17" ht="45">
      <c r="A21" s="63">
        <v>15</v>
      </c>
      <c r="B21" s="49" t="s">
        <v>12</v>
      </c>
      <c r="C21" s="100">
        <v>47</v>
      </c>
      <c r="D21" s="49" t="s">
        <v>386</v>
      </c>
      <c r="E21" s="69" t="s">
        <v>385</v>
      </c>
      <c r="F21" s="95" t="s">
        <v>568</v>
      </c>
      <c r="G21" s="15"/>
      <c r="H21" s="15"/>
      <c r="I21" s="15"/>
      <c r="J21" s="95" t="s">
        <v>352</v>
      </c>
      <c r="K21" s="100">
        <v>1</v>
      </c>
      <c r="L21" s="92"/>
      <c r="M21" s="15"/>
      <c r="N21" s="92"/>
      <c r="O21" s="46">
        <f t="shared" si="0"/>
        <v>0</v>
      </c>
      <c r="P21" s="46">
        <f t="shared" si="1"/>
        <v>0</v>
      </c>
      <c r="Q21" s="46">
        <f t="shared" si="2"/>
        <v>0</v>
      </c>
    </row>
    <row r="22" spans="1:17" ht="15">
      <c r="A22" s="63">
        <v>16</v>
      </c>
      <c r="B22" s="49" t="s">
        <v>265</v>
      </c>
      <c r="C22" s="100">
        <v>41</v>
      </c>
      <c r="D22" s="49" t="s">
        <v>130</v>
      </c>
      <c r="E22" s="69" t="s">
        <v>549</v>
      </c>
      <c r="F22" s="95"/>
      <c r="G22" s="15"/>
      <c r="H22" s="15"/>
      <c r="I22" s="15"/>
      <c r="J22" s="95" t="s">
        <v>352</v>
      </c>
      <c r="K22" s="100">
        <v>1</v>
      </c>
      <c r="L22" s="92"/>
      <c r="M22" s="15"/>
      <c r="N22" s="92"/>
      <c r="O22" s="46">
        <f t="shared" si="0"/>
        <v>0</v>
      </c>
      <c r="P22" s="46">
        <f t="shared" si="1"/>
        <v>0</v>
      </c>
      <c r="Q22" s="46">
        <f t="shared" si="2"/>
        <v>0</v>
      </c>
    </row>
    <row r="23" spans="1:17" ht="45">
      <c r="A23" s="63">
        <v>17</v>
      </c>
      <c r="B23" s="49" t="s">
        <v>184</v>
      </c>
      <c r="C23" s="100">
        <v>13</v>
      </c>
      <c r="D23" s="49" t="s">
        <v>95</v>
      </c>
      <c r="E23" s="69" t="s">
        <v>150</v>
      </c>
      <c r="F23" s="95" t="s">
        <v>277</v>
      </c>
      <c r="G23" s="15">
        <v>0.001</v>
      </c>
      <c r="H23" s="15">
        <v>2</v>
      </c>
      <c r="I23" s="15"/>
      <c r="J23" s="95" t="s">
        <v>352</v>
      </c>
      <c r="K23" s="100">
        <v>1</v>
      </c>
      <c r="L23" s="92">
        <v>0</v>
      </c>
      <c r="M23" s="15"/>
      <c r="N23" s="92"/>
      <c r="O23" s="46">
        <f t="shared" si="0"/>
        <v>0</v>
      </c>
      <c r="P23" s="46">
        <f t="shared" si="1"/>
        <v>0</v>
      </c>
      <c r="Q23" s="46">
        <f t="shared" si="2"/>
        <v>0</v>
      </c>
    </row>
    <row r="24" spans="1:17" ht="45">
      <c r="A24" s="63">
        <v>18</v>
      </c>
      <c r="B24" s="49" t="s">
        <v>42</v>
      </c>
      <c r="C24" s="100">
        <v>14</v>
      </c>
      <c r="D24" s="49" t="s">
        <v>579</v>
      </c>
      <c r="E24" s="69" t="s">
        <v>150</v>
      </c>
      <c r="F24" s="95" t="s">
        <v>463</v>
      </c>
      <c r="G24" s="15">
        <v>0.001</v>
      </c>
      <c r="H24" s="15">
        <v>2</v>
      </c>
      <c r="I24" s="15"/>
      <c r="J24" s="95" t="s">
        <v>352</v>
      </c>
      <c r="K24" s="100">
        <v>1</v>
      </c>
      <c r="L24" s="92">
        <v>0</v>
      </c>
      <c r="M24" s="15"/>
      <c r="N24" s="92"/>
      <c r="O24" s="46">
        <f t="shared" si="0"/>
        <v>0</v>
      </c>
      <c r="P24" s="46">
        <f t="shared" si="1"/>
        <v>0</v>
      </c>
      <c r="Q24" s="46">
        <f t="shared" si="2"/>
        <v>0</v>
      </c>
    </row>
    <row r="25" spans="1:17" ht="15">
      <c r="A25" s="63">
        <v>19</v>
      </c>
      <c r="B25" s="49" t="s">
        <v>85</v>
      </c>
      <c r="C25" s="100">
        <v>16</v>
      </c>
      <c r="D25" s="49" t="s">
        <v>188</v>
      </c>
      <c r="E25" s="69" t="s">
        <v>150</v>
      </c>
      <c r="F25" s="95"/>
      <c r="G25" s="15">
        <v>0.001</v>
      </c>
      <c r="H25" s="15">
        <v>2</v>
      </c>
      <c r="I25" s="15"/>
      <c r="J25" s="95" t="s">
        <v>352</v>
      </c>
      <c r="K25" s="100">
        <v>1</v>
      </c>
      <c r="L25" s="92">
        <v>0</v>
      </c>
      <c r="M25" s="15"/>
      <c r="N25" s="92"/>
      <c r="O25" s="46">
        <f t="shared" si="0"/>
        <v>0</v>
      </c>
      <c r="P25" s="46">
        <f t="shared" si="1"/>
        <v>0</v>
      </c>
      <c r="Q25" s="46">
        <f t="shared" si="2"/>
        <v>0</v>
      </c>
    </row>
    <row r="26" spans="1:17" ht="60">
      <c r="A26" s="63">
        <v>20</v>
      </c>
      <c r="B26" s="49" t="s">
        <v>600</v>
      </c>
      <c r="C26" s="100">
        <v>15</v>
      </c>
      <c r="D26" s="49" t="s">
        <v>594</v>
      </c>
      <c r="E26" s="69" t="s">
        <v>150</v>
      </c>
      <c r="F26" s="95" t="s">
        <v>26</v>
      </c>
      <c r="G26" s="15">
        <v>0.001</v>
      </c>
      <c r="H26" s="15">
        <v>2</v>
      </c>
      <c r="I26" s="15"/>
      <c r="J26" s="95" t="s">
        <v>352</v>
      </c>
      <c r="K26" s="100">
        <v>1</v>
      </c>
      <c r="L26" s="92">
        <v>0</v>
      </c>
      <c r="M26" s="15"/>
      <c r="N26" s="92"/>
      <c r="O26" s="46">
        <f t="shared" si="0"/>
        <v>0</v>
      </c>
      <c r="P26" s="46">
        <f t="shared" si="1"/>
        <v>0</v>
      </c>
      <c r="Q26" s="46">
        <f t="shared" si="2"/>
        <v>0</v>
      </c>
    </row>
    <row r="27" spans="1:17" ht="60">
      <c r="A27" s="63">
        <v>21</v>
      </c>
      <c r="B27" s="49" t="s">
        <v>363</v>
      </c>
      <c r="C27" s="100">
        <v>45</v>
      </c>
      <c r="D27" s="49" t="s">
        <v>540</v>
      </c>
      <c r="E27" s="69" t="s">
        <v>150</v>
      </c>
      <c r="F27" s="95" t="s">
        <v>316</v>
      </c>
      <c r="G27" s="15"/>
      <c r="H27" s="15"/>
      <c r="I27" s="15"/>
      <c r="J27" s="95" t="s">
        <v>352</v>
      </c>
      <c r="K27" s="100">
        <v>1</v>
      </c>
      <c r="L27" s="92"/>
      <c r="M27" s="15"/>
      <c r="N27" s="92"/>
      <c r="O27" s="46">
        <f t="shared" si="0"/>
        <v>0</v>
      </c>
      <c r="P27" s="46">
        <f t="shared" si="1"/>
        <v>0</v>
      </c>
      <c r="Q27" s="46">
        <f t="shared" si="2"/>
        <v>0</v>
      </c>
    </row>
    <row r="28" spans="1:17" ht="60">
      <c r="A28" s="63">
        <v>22</v>
      </c>
      <c r="B28" s="49" t="s">
        <v>357</v>
      </c>
      <c r="C28" s="100">
        <v>46</v>
      </c>
      <c r="D28" s="49" t="s">
        <v>22</v>
      </c>
      <c r="E28" s="69" t="s">
        <v>150</v>
      </c>
      <c r="F28" s="95" t="s">
        <v>259</v>
      </c>
      <c r="G28" s="15"/>
      <c r="H28" s="15"/>
      <c r="I28" s="15"/>
      <c r="J28" s="95" t="s">
        <v>352</v>
      </c>
      <c r="K28" s="100">
        <v>1</v>
      </c>
      <c r="L28" s="92"/>
      <c r="M28" s="15"/>
      <c r="N28" s="92"/>
      <c r="O28" s="46">
        <f t="shared" si="0"/>
        <v>0</v>
      </c>
      <c r="P28" s="46">
        <f t="shared" si="1"/>
        <v>0</v>
      </c>
      <c r="Q28" s="46">
        <f t="shared" si="2"/>
        <v>0</v>
      </c>
    </row>
    <row r="29" spans="1:17" ht="45">
      <c r="A29" s="63">
        <v>23</v>
      </c>
      <c r="B29" s="49" t="s">
        <v>273</v>
      </c>
      <c r="C29" s="100">
        <v>34</v>
      </c>
      <c r="D29" s="49" t="s">
        <v>416</v>
      </c>
      <c r="E29" s="69" t="s">
        <v>150</v>
      </c>
      <c r="F29" s="95" t="s">
        <v>281</v>
      </c>
      <c r="G29" s="15">
        <v>0.001</v>
      </c>
      <c r="H29" s="15">
        <v>3</v>
      </c>
      <c r="I29" s="15"/>
      <c r="J29" s="95" t="s">
        <v>352</v>
      </c>
      <c r="K29" s="100">
        <v>1</v>
      </c>
      <c r="L29" s="92">
        <v>0</v>
      </c>
      <c r="M29" s="15"/>
      <c r="N29" s="92"/>
      <c r="O29" s="46">
        <f t="shared" si="0"/>
        <v>0</v>
      </c>
      <c r="P29" s="46">
        <f t="shared" si="1"/>
        <v>0</v>
      </c>
      <c r="Q29" s="46">
        <f t="shared" si="2"/>
        <v>0</v>
      </c>
    </row>
    <row r="30" spans="1:17" ht="45">
      <c r="A30" s="127">
        <v>24</v>
      </c>
      <c r="B30" s="107" t="s">
        <v>499</v>
      </c>
      <c r="C30" s="29">
        <v>40</v>
      </c>
      <c r="D30" s="107" t="s">
        <v>427</v>
      </c>
      <c r="E30" s="134" t="s">
        <v>150</v>
      </c>
      <c r="F30" s="26" t="s">
        <v>301</v>
      </c>
      <c r="G30" s="76">
        <v>0.001</v>
      </c>
      <c r="H30" s="76">
        <v>3</v>
      </c>
      <c r="I30" s="76"/>
      <c r="J30" s="26" t="s">
        <v>352</v>
      </c>
      <c r="K30" s="29">
        <v>1</v>
      </c>
      <c r="L30" s="23">
        <v>0</v>
      </c>
      <c r="M30" s="76"/>
      <c r="N30" s="23"/>
      <c r="O30" s="105">
        <f t="shared" si="0"/>
        <v>0</v>
      </c>
      <c r="P30" s="105">
        <f t="shared" si="1"/>
        <v>0</v>
      </c>
      <c r="Q30" s="105">
        <f t="shared" si="2"/>
        <v>0</v>
      </c>
    </row>
    <row r="31" spans="1:17" ht="16.5" customHeight="1">
      <c r="A31" s="128"/>
      <c r="B31" s="104"/>
      <c r="C31" s="25"/>
      <c r="D31" s="104"/>
      <c r="E31" s="128"/>
      <c r="F31" s="104"/>
      <c r="G31" s="25"/>
      <c r="H31" s="25"/>
      <c r="I31" s="25"/>
      <c r="J31" s="104"/>
      <c r="K31" s="25"/>
      <c r="L31" s="25"/>
      <c r="M31" s="25"/>
      <c r="N31" s="25"/>
      <c r="O31" s="25"/>
      <c r="P31" s="25"/>
      <c r="Q31" s="25"/>
    </row>
  </sheetData>
  <sheetProtection/>
  <mergeCells count="19"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A1:Q1"/>
    <mergeCell ref="A2:Q2"/>
    <mergeCell ref="A3:Q3"/>
    <mergeCell ref="A5:A6"/>
    <mergeCell ref="B5:B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D28"/>
  <sheetViews>
    <sheetView zoomScalePageLayoutView="0" workbookViewId="0" topLeftCell="A1">
      <selection activeCell="A1" sqref="A1"/>
    </sheetView>
  </sheetViews>
  <sheetFormatPr defaultColWidth="9.421875" defaultRowHeight="15"/>
  <cols>
    <col min="1" max="1" width="12.140625" style="0" bestFit="1" customWidth="1"/>
  </cols>
  <sheetData>
    <row r="1" ht="15.75">
      <c r="A1" s="123" t="s">
        <v>359</v>
      </c>
    </row>
    <row r="2" spans="1:4" ht="15">
      <c r="A2" s="130" t="s">
        <v>501</v>
      </c>
      <c r="B2" s="130" t="s">
        <v>240</v>
      </c>
      <c r="C2" s="130">
        <v>1</v>
      </c>
      <c r="D2" s="130">
        <v>1</v>
      </c>
    </row>
    <row r="3" spans="1:4" ht="15">
      <c r="A3" s="130" t="s">
        <v>214</v>
      </c>
      <c r="B3" s="130" t="s">
        <v>506</v>
      </c>
      <c r="C3" s="130">
        <v>1</v>
      </c>
      <c r="D3" s="130">
        <v>1</v>
      </c>
    </row>
    <row r="4" spans="1:4" ht="15">
      <c r="A4" s="130" t="s">
        <v>597</v>
      </c>
      <c r="B4" s="130" t="s">
        <v>274</v>
      </c>
      <c r="C4" s="130">
        <v>0.061</v>
      </c>
      <c r="D4" s="71">
        <v>0.061</v>
      </c>
    </row>
    <row r="5" spans="1:4" ht="15">
      <c r="A5" s="130" t="s">
        <v>30</v>
      </c>
      <c r="B5" s="130" t="s">
        <v>65</v>
      </c>
      <c r="C5" s="130">
        <v>0.01</v>
      </c>
      <c r="D5" s="27">
        <v>0.01</v>
      </c>
    </row>
    <row r="6" spans="1:4" ht="15">
      <c r="A6" s="130" t="s">
        <v>381</v>
      </c>
      <c r="B6" s="130" t="s">
        <v>290</v>
      </c>
      <c r="C6" s="130">
        <v>0.011</v>
      </c>
      <c r="D6" s="71">
        <v>0.011</v>
      </c>
    </row>
    <row r="7" spans="1:4" ht="15">
      <c r="A7" s="130" t="s">
        <v>315</v>
      </c>
      <c r="B7" s="130" t="s">
        <v>111</v>
      </c>
      <c r="C7" s="130">
        <v>1</v>
      </c>
      <c r="D7" s="130">
        <v>1</v>
      </c>
    </row>
    <row r="8" spans="1:4" ht="15">
      <c r="A8" s="130" t="s">
        <v>354</v>
      </c>
      <c r="B8" s="130" t="s">
        <v>35</v>
      </c>
      <c r="C8" s="130">
        <v>0.055</v>
      </c>
      <c r="D8" s="71">
        <v>0.055</v>
      </c>
    </row>
    <row r="9" spans="1:4" ht="15">
      <c r="A9" s="130" t="s">
        <v>346</v>
      </c>
      <c r="B9" s="130" t="s">
        <v>527</v>
      </c>
      <c r="C9" s="130">
        <v>0.02</v>
      </c>
      <c r="D9" s="27">
        <v>0.02</v>
      </c>
    </row>
    <row r="10" spans="1:4" ht="15">
      <c r="A10" s="130" t="s">
        <v>174</v>
      </c>
      <c r="B10" s="130" t="s">
        <v>209</v>
      </c>
      <c r="C10" s="130">
        <v>0.1</v>
      </c>
      <c r="D10" s="27">
        <v>0.1</v>
      </c>
    </row>
    <row r="11" spans="1:4" ht="15">
      <c r="A11" s="130" t="s">
        <v>3</v>
      </c>
      <c r="B11" s="130" t="s">
        <v>476</v>
      </c>
      <c r="C11" s="130">
        <v>0</v>
      </c>
      <c r="D11" s="130">
        <v>0</v>
      </c>
    </row>
    <row r="12" spans="1:4" ht="15">
      <c r="A12" s="130" t="s">
        <v>464</v>
      </c>
      <c r="B12" s="130" t="s">
        <v>614</v>
      </c>
      <c r="C12" s="130">
        <v>0.02</v>
      </c>
      <c r="D12" s="27">
        <v>0.02</v>
      </c>
    </row>
    <row r="13" spans="1:4" ht="15">
      <c r="A13" s="130" t="s">
        <v>606</v>
      </c>
      <c r="B13" s="130" t="s">
        <v>268</v>
      </c>
      <c r="C13" s="130">
        <v>0.03</v>
      </c>
      <c r="D13" s="27">
        <v>0.03</v>
      </c>
    </row>
    <row r="14" spans="1:4" ht="15">
      <c r="A14" s="130" t="s">
        <v>446</v>
      </c>
      <c r="B14" s="130" t="s">
        <v>234</v>
      </c>
      <c r="C14" s="130">
        <v>0</v>
      </c>
      <c r="D14" s="27">
        <v>0</v>
      </c>
    </row>
    <row r="15" spans="1:4" ht="15">
      <c r="A15" s="130" t="s">
        <v>393</v>
      </c>
      <c r="B15" s="130" t="s">
        <v>36</v>
      </c>
      <c r="C15" s="130">
        <v>0.1</v>
      </c>
      <c r="D15" s="27">
        <v>0.1</v>
      </c>
    </row>
    <row r="16" spans="1:4" ht="15">
      <c r="A16" s="130" t="s">
        <v>1</v>
      </c>
      <c r="B16" s="130" t="s">
        <v>212</v>
      </c>
      <c r="C16" s="130">
        <v>0</v>
      </c>
      <c r="D16" s="27">
        <v>0</v>
      </c>
    </row>
    <row r="17" spans="1:4" ht="15">
      <c r="A17" s="130" t="s">
        <v>89</v>
      </c>
      <c r="B17" s="130" t="s">
        <v>456</v>
      </c>
      <c r="C17" s="130">
        <v>0.08</v>
      </c>
      <c r="D17" s="27">
        <v>0.08</v>
      </c>
    </row>
    <row r="18" spans="1:4" ht="15">
      <c r="A18" s="130" t="s">
        <v>213</v>
      </c>
      <c r="B18" s="130" t="s">
        <v>569</v>
      </c>
      <c r="C18" s="130">
        <v>0</v>
      </c>
      <c r="D18" s="27">
        <v>0</v>
      </c>
    </row>
    <row r="19" spans="1:4" ht="15">
      <c r="A19" s="130" t="s">
        <v>310</v>
      </c>
      <c r="B19" s="130" t="s">
        <v>574</v>
      </c>
      <c r="C19" s="130">
        <v>0</v>
      </c>
      <c r="D19" s="27">
        <v>0</v>
      </c>
    </row>
    <row r="20" spans="1:4" ht="15">
      <c r="A20" s="130" t="s">
        <v>428</v>
      </c>
      <c r="B20" s="130" t="s">
        <v>77</v>
      </c>
      <c r="C20" s="130">
        <v>0</v>
      </c>
      <c r="D20" s="27">
        <v>0</v>
      </c>
    </row>
    <row r="21" spans="1:4" ht="15">
      <c r="A21" s="130" t="s">
        <v>370</v>
      </c>
      <c r="B21" s="130" t="s">
        <v>283</v>
      </c>
      <c r="C21" s="130">
        <v>0</v>
      </c>
      <c r="D21" s="27">
        <v>0</v>
      </c>
    </row>
    <row r="22" spans="1:4" ht="15">
      <c r="A22" s="130" t="s">
        <v>193</v>
      </c>
      <c r="B22" s="130" t="s">
        <v>425</v>
      </c>
      <c r="C22" s="130">
        <v>0</v>
      </c>
      <c r="D22" s="27">
        <v>0</v>
      </c>
    </row>
    <row r="23" spans="1:4" ht="15">
      <c r="A23" s="130" t="s">
        <v>299</v>
      </c>
      <c r="B23" s="130" t="s">
        <v>479</v>
      </c>
      <c r="C23" s="130">
        <v>0</v>
      </c>
      <c r="D23" s="27">
        <v>0</v>
      </c>
    </row>
    <row r="24" spans="1:4" ht="15">
      <c r="A24" s="130" t="s">
        <v>453</v>
      </c>
      <c r="B24" s="130" t="s">
        <v>514</v>
      </c>
      <c r="C24" s="130">
        <v>0</v>
      </c>
      <c r="D24" s="27">
        <v>0</v>
      </c>
    </row>
    <row r="25" spans="1:4" ht="15">
      <c r="A25" s="130" t="s">
        <v>369</v>
      </c>
      <c r="B25" s="130" t="s">
        <v>570</v>
      </c>
      <c r="C25" s="130">
        <v>0</v>
      </c>
      <c r="D25" s="27">
        <v>0</v>
      </c>
    </row>
    <row r="26" spans="1:4" ht="15">
      <c r="A26" s="130" t="s">
        <v>541</v>
      </c>
      <c r="B26" s="130" t="s">
        <v>550</v>
      </c>
      <c r="C26" s="130">
        <v>0</v>
      </c>
      <c r="D26" s="27">
        <v>0</v>
      </c>
    </row>
    <row r="27" spans="1:4" ht="15">
      <c r="A27" s="130" t="s">
        <v>7</v>
      </c>
      <c r="B27" s="130" t="s">
        <v>4</v>
      </c>
      <c r="C27" s="130">
        <v>0</v>
      </c>
      <c r="D27" s="27">
        <v>0</v>
      </c>
    </row>
    <row r="28" spans="1:4" ht="15">
      <c r="A28" s="130" t="s">
        <v>465</v>
      </c>
      <c r="B28" s="130" t="s">
        <v>488</v>
      </c>
      <c r="C28" s="130">
        <v>0</v>
      </c>
      <c r="D28" s="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showZeros="0" zoomScalePageLayoutView="0" workbookViewId="0" topLeftCell="A1">
      <selection activeCell="A1" sqref="A1:M1"/>
    </sheetView>
  </sheetViews>
  <sheetFormatPr defaultColWidth="9.140625" defaultRowHeight="15"/>
  <cols>
    <col min="1" max="1" width="6.57421875" style="130" customWidth="1"/>
    <col min="2" max="2" width="11.140625" style="130" customWidth="1"/>
    <col min="3" max="3" width="11.140625" style="130" hidden="1" customWidth="1"/>
    <col min="4" max="4" width="46.28125" style="130" customWidth="1"/>
    <col min="5" max="5" width="8.57421875" style="130" customWidth="1"/>
    <col min="6" max="6" width="7.421875" style="130" customWidth="1"/>
    <col min="7" max="7" width="10.7109375" style="130" customWidth="1"/>
    <col min="8" max="8" width="11.8515625" style="130" customWidth="1"/>
    <col min="9" max="9" width="14.140625" style="130" customWidth="1"/>
    <col min="10" max="10" width="9.00390625" style="130" customWidth="1"/>
    <col min="11" max="11" width="10.7109375" style="130" customWidth="1"/>
    <col min="12" max="12" width="11.8515625" style="130" customWidth="1"/>
    <col min="13" max="13" width="14.140625" style="130" customWidth="1"/>
    <col min="14" max="16384" width="9.140625" style="130" customWidth="1"/>
  </cols>
  <sheetData>
    <row r="1" spans="1:13" ht="22.5" customHeight="1">
      <c r="A1" s="149" t="s">
        <v>508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9.5" customHeight="1">
      <c r="A2" s="150" t="str">
        <f>'Công trình'!A2</f>
        <v>Công trình: Sửa chữa nâng cấp mương suối Tú, bản Chại, xã Hiền Chung, huyện Quan Hóa, tỉnh Thanh Hóa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8" customHeight="1">
      <c r="A3" s="147" t="str">
        <f>'Công trình'!A3</f>
        <v>HẠNG MỤC: Hạng mục 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6.5" customHeight="1">
      <c r="A4" s="128"/>
      <c r="B4" s="104"/>
      <c r="C4" s="25"/>
      <c r="D4" s="104"/>
      <c r="E4" s="128"/>
      <c r="F4" s="25"/>
      <c r="G4" s="25"/>
      <c r="H4" s="25"/>
      <c r="I4" s="25"/>
      <c r="J4" s="25"/>
      <c r="K4" s="25"/>
      <c r="L4" s="25"/>
      <c r="M4" s="25"/>
    </row>
    <row r="5" spans="1:13" ht="16.5" customHeight="1">
      <c r="A5" s="143" t="s">
        <v>576</v>
      </c>
      <c r="B5" s="144" t="s">
        <v>178</v>
      </c>
      <c r="C5" s="137" t="s">
        <v>605</v>
      </c>
      <c r="D5" s="137" t="s">
        <v>134</v>
      </c>
      <c r="E5" s="137" t="s">
        <v>444</v>
      </c>
      <c r="F5" s="139" t="s">
        <v>84</v>
      </c>
      <c r="G5" s="139" t="s">
        <v>333</v>
      </c>
      <c r="H5" s="139"/>
      <c r="I5" s="139"/>
      <c r="J5" s="137" t="s">
        <v>566</v>
      </c>
      <c r="K5" s="139" t="s">
        <v>342</v>
      </c>
      <c r="L5" s="139"/>
      <c r="M5" s="139"/>
    </row>
    <row r="6" spans="1:13" ht="16.5" customHeight="1">
      <c r="A6" s="143"/>
      <c r="B6" s="144"/>
      <c r="C6" s="137"/>
      <c r="D6" s="137"/>
      <c r="E6" s="137"/>
      <c r="F6" s="139"/>
      <c r="G6" s="57" t="s">
        <v>81</v>
      </c>
      <c r="H6" s="57" t="s">
        <v>88</v>
      </c>
      <c r="I6" s="57" t="s">
        <v>318</v>
      </c>
      <c r="J6" s="137"/>
      <c r="K6" s="57" t="s">
        <v>81</v>
      </c>
      <c r="L6" s="57" t="s">
        <v>88</v>
      </c>
      <c r="M6" s="57" t="s">
        <v>318</v>
      </c>
    </row>
    <row r="7" spans="1:13" ht="28.5">
      <c r="A7" s="110">
        <f>'Công trình'!A7</f>
        <v>1</v>
      </c>
      <c r="B7" s="119" t="str">
        <f>'Công trình'!C7</f>
        <v>AB.11433</v>
      </c>
      <c r="C7" s="12"/>
      <c r="D7" s="119" t="str">
        <f>'Công trình'!D7</f>
        <v>Đào móng cột, trụ, hố kiểm tra bằng thủ công, rộng &gt;1m, sâu ≤1m - Cấp đất III</v>
      </c>
      <c r="E7" s="18" t="str">
        <f>'Công trình'!E7</f>
        <v>1m3</v>
      </c>
      <c r="F7" s="97">
        <f>'Công trình'!L7</f>
        <v>10.584</v>
      </c>
      <c r="G7" s="62"/>
      <c r="H7" s="62"/>
      <c r="I7" s="62"/>
      <c r="J7" s="12"/>
      <c r="K7" s="62"/>
      <c r="L7" s="62"/>
      <c r="M7" s="62"/>
    </row>
    <row r="8" spans="1:13" ht="15">
      <c r="A8" s="60"/>
      <c r="B8" s="39"/>
      <c r="C8" s="89"/>
      <c r="D8" s="39" t="s">
        <v>88</v>
      </c>
      <c r="E8" s="66"/>
      <c r="F8" s="14"/>
      <c r="G8" s="14"/>
      <c r="H8" s="14"/>
      <c r="I8" s="14"/>
      <c r="J8" s="89"/>
      <c r="K8" s="14"/>
      <c r="L8" s="14"/>
      <c r="M8" s="14"/>
    </row>
    <row r="9" spans="1:13" ht="15">
      <c r="A9" s="63"/>
      <c r="B9" s="49" t="str">
        <f>'Nhân công'!B6</f>
        <v>N0006</v>
      </c>
      <c r="C9" s="100">
        <v>50</v>
      </c>
      <c r="D9" s="49" t="s">
        <v>546</v>
      </c>
      <c r="E9" s="69" t="str">
        <f>'Nhân công'!H6</f>
        <v>công</v>
      </c>
      <c r="F9" s="19"/>
      <c r="G9" s="19"/>
      <c r="H9" s="19">
        <v>1.25</v>
      </c>
      <c r="I9" s="19"/>
      <c r="J9" s="100">
        <v>1</v>
      </c>
      <c r="K9" s="19"/>
      <c r="L9" s="19">
        <f>ROUND(F7*H9*J9,4)</f>
        <v>13.23</v>
      </c>
      <c r="M9" s="19"/>
    </row>
    <row r="10" spans="1:13" ht="28.5">
      <c r="A10" s="110">
        <f>'Công trình'!A9</f>
        <v>2</v>
      </c>
      <c r="B10" s="119" t="str">
        <f>'Công trình'!C9</f>
        <v>AF.11110</v>
      </c>
      <c r="C10" s="12"/>
      <c r="D10" s="119" t="str">
        <f>'Công trình'!D9</f>
        <v>Bê tông lót móng SX bằng máy trộn, đổ bằng thủ công, rộng ≤250cm, M100, đá 4x6, PCB30</v>
      </c>
      <c r="E10" s="18" t="str">
        <f>'Công trình'!E9</f>
        <v>m3</v>
      </c>
      <c r="F10" s="97">
        <f>'Công trình'!L9</f>
        <v>0.588</v>
      </c>
      <c r="G10" s="62"/>
      <c r="H10" s="62"/>
      <c r="I10" s="62"/>
      <c r="J10" s="12"/>
      <c r="K10" s="62"/>
      <c r="L10" s="62"/>
      <c r="M10" s="62"/>
    </row>
    <row r="11" spans="1:13" ht="15">
      <c r="A11" s="60"/>
      <c r="B11" s="39"/>
      <c r="C11" s="89"/>
      <c r="D11" s="39" t="s">
        <v>81</v>
      </c>
      <c r="E11" s="66"/>
      <c r="F11" s="14"/>
      <c r="G11" s="14"/>
      <c r="H11" s="14"/>
      <c r="I11" s="14"/>
      <c r="J11" s="89"/>
      <c r="K11" s="14"/>
      <c r="L11" s="14"/>
      <c r="M11" s="14"/>
    </row>
    <row r="12" spans="1:13" ht="15">
      <c r="A12" s="63"/>
      <c r="B12" s="49" t="str">
        <f>'Vật liệu'!B10</f>
        <v>V00112</v>
      </c>
      <c r="C12" s="100">
        <v>7</v>
      </c>
      <c r="D12" s="49" t="str">
        <f>" - "&amp;'Vật liệu'!E10</f>
        <v> - Cát vàng</v>
      </c>
      <c r="E12" s="69" t="str">
        <f>'Vật liệu'!F10</f>
        <v>m3</v>
      </c>
      <c r="F12" s="19"/>
      <c r="G12" s="19">
        <v>0.573</v>
      </c>
      <c r="H12" s="19"/>
      <c r="I12" s="19"/>
      <c r="J12" s="100">
        <v>1</v>
      </c>
      <c r="K12" s="19">
        <f>ROUND(F10*G12*J12,4)</f>
        <v>0.3369</v>
      </c>
      <c r="L12" s="19"/>
      <c r="M12" s="19"/>
    </row>
    <row r="13" spans="1:13" ht="15">
      <c r="A13" s="63"/>
      <c r="B13" s="49" t="str">
        <f>'Vật liệu'!B18</f>
        <v>V05209</v>
      </c>
      <c r="C13" s="100">
        <v>36</v>
      </c>
      <c r="D13" s="49" t="str">
        <f>" - "&amp;'Vật liệu'!E18</f>
        <v> - Đá 4x6</v>
      </c>
      <c r="E13" s="69" t="str">
        <f>'Vật liệu'!F18</f>
        <v>m3</v>
      </c>
      <c r="F13" s="19"/>
      <c r="G13" s="19">
        <v>0.9287</v>
      </c>
      <c r="H13" s="19"/>
      <c r="I13" s="19"/>
      <c r="J13" s="100">
        <v>1</v>
      </c>
      <c r="K13" s="19">
        <f>ROUND(F10*G13*J13,4)</f>
        <v>0.5461</v>
      </c>
      <c r="L13" s="19"/>
      <c r="M13" s="19"/>
    </row>
    <row r="14" spans="1:13" ht="15">
      <c r="A14" s="63"/>
      <c r="B14" s="49" t="str">
        <f>'Vật liệu'!B53</f>
        <v>V00494</v>
      </c>
      <c r="C14" s="100">
        <v>12</v>
      </c>
      <c r="D14" s="49" t="str">
        <f>" - "&amp;'Vật liệu'!E53</f>
        <v> - Nước</v>
      </c>
      <c r="E14" s="69" t="str">
        <f>'Vật liệu'!F53</f>
        <v>lít</v>
      </c>
      <c r="F14" s="19"/>
      <c r="G14" s="19">
        <v>166.05</v>
      </c>
      <c r="H14" s="19"/>
      <c r="I14" s="19"/>
      <c r="J14" s="100">
        <v>1</v>
      </c>
      <c r="K14" s="19">
        <f>ROUND(F10*G14*J14,4)</f>
        <v>97.6374</v>
      </c>
      <c r="L14" s="19"/>
      <c r="M14" s="19"/>
    </row>
    <row r="15" spans="1:13" ht="15">
      <c r="A15" s="63"/>
      <c r="B15" s="49" t="str">
        <f>'Vật liệu'!B82</f>
        <v>V02470</v>
      </c>
      <c r="C15" s="100">
        <v>34</v>
      </c>
      <c r="D15" s="49" t="str">
        <f>" - "&amp;'Vật liệu'!E82</f>
        <v> - Xi măng PCB30</v>
      </c>
      <c r="E15" s="69" t="str">
        <f>'Vật liệu'!F82</f>
        <v>kg</v>
      </c>
      <c r="F15" s="19"/>
      <c r="G15" s="19">
        <v>197.825</v>
      </c>
      <c r="H15" s="19"/>
      <c r="I15" s="19"/>
      <c r="J15" s="100">
        <v>1</v>
      </c>
      <c r="K15" s="19">
        <f>ROUND(F10*G15*J15,4)</f>
        <v>116.3211</v>
      </c>
      <c r="L15" s="19"/>
      <c r="M15" s="19"/>
    </row>
    <row r="16" spans="1:13" ht="15">
      <c r="A16" s="60"/>
      <c r="B16" s="39"/>
      <c r="C16" s="89"/>
      <c r="D16" s="39" t="s">
        <v>88</v>
      </c>
      <c r="E16" s="66"/>
      <c r="F16" s="14"/>
      <c r="G16" s="14"/>
      <c r="H16" s="14"/>
      <c r="I16" s="14"/>
      <c r="J16" s="89"/>
      <c r="K16" s="14"/>
      <c r="L16" s="14"/>
      <c r="M16" s="14"/>
    </row>
    <row r="17" spans="1:13" ht="15">
      <c r="A17" s="63"/>
      <c r="B17" s="49" t="str">
        <f>'Nhân công'!B9</f>
        <v>N0028</v>
      </c>
      <c r="C17" s="100">
        <v>53</v>
      </c>
      <c r="D17" s="49" t="s">
        <v>538</v>
      </c>
      <c r="E17" s="69" t="str">
        <f>'Nhân công'!H9</f>
        <v>công</v>
      </c>
      <c r="F17" s="19"/>
      <c r="G17" s="19"/>
      <c r="H17" s="19">
        <v>1.07</v>
      </c>
      <c r="I17" s="19"/>
      <c r="J17" s="100">
        <v>1</v>
      </c>
      <c r="K17" s="19"/>
      <c r="L17" s="19">
        <f>ROUND(F10*H17*J17,4)</f>
        <v>0.6292</v>
      </c>
      <c r="M17" s="19"/>
    </row>
    <row r="18" spans="1:13" ht="15">
      <c r="A18" s="60"/>
      <c r="B18" s="39"/>
      <c r="C18" s="89"/>
      <c r="D18" s="39" t="s">
        <v>318</v>
      </c>
      <c r="E18" s="66"/>
      <c r="F18" s="14"/>
      <c r="G18" s="14"/>
      <c r="H18" s="14"/>
      <c r="I18" s="14"/>
      <c r="J18" s="89"/>
      <c r="K18" s="14"/>
      <c r="L18" s="14"/>
      <c r="M18" s="14"/>
    </row>
    <row r="19" spans="1:13" ht="15">
      <c r="A19" s="63"/>
      <c r="B19" s="49" t="str">
        <f>'Máy thi công'!B42</f>
        <v>M104.0101</v>
      </c>
      <c r="C19" s="100">
        <v>68</v>
      </c>
      <c r="D19" s="49" t="str">
        <f>" - "&amp;'Máy thi công'!D42</f>
        <v> - Máy trộn bê tông - dung tích: 250 lít</v>
      </c>
      <c r="E19" s="69" t="str">
        <f>'Máy thi công'!E42</f>
        <v>ca</v>
      </c>
      <c r="F19" s="19"/>
      <c r="G19" s="19"/>
      <c r="H19" s="19"/>
      <c r="I19" s="19">
        <v>0.095</v>
      </c>
      <c r="J19" s="100">
        <v>1</v>
      </c>
      <c r="K19" s="19"/>
      <c r="L19" s="19"/>
      <c r="M19" s="19">
        <f>ROUND(F10*I19*J19,4)</f>
        <v>0.0559</v>
      </c>
    </row>
    <row r="20" spans="1:13" ht="15">
      <c r="A20" s="63"/>
      <c r="B20" s="49" t="str">
        <f>'Máy thi công'!B28</f>
        <v>M112.1101</v>
      </c>
      <c r="C20" s="100">
        <v>70</v>
      </c>
      <c r="D20" s="49" t="str">
        <f>" - "&amp;'Máy thi công'!D28</f>
        <v> - Máy đầm bê tông, đầm bàn - công suất: 1,0 kW</v>
      </c>
      <c r="E20" s="69" t="str">
        <f>'Máy thi công'!E28</f>
        <v>ca</v>
      </c>
      <c r="F20" s="19"/>
      <c r="G20" s="19"/>
      <c r="H20" s="19"/>
      <c r="I20" s="19">
        <v>0.089</v>
      </c>
      <c r="J20" s="100">
        <v>1</v>
      </c>
      <c r="K20" s="19"/>
      <c r="L20" s="19"/>
      <c r="M20" s="19">
        <f>ROUND(F10*I20*J20,4)</f>
        <v>0.0523</v>
      </c>
    </row>
    <row r="21" spans="1:13" ht="15">
      <c r="A21" s="110">
        <f>'Công trình'!A11</f>
        <v>3</v>
      </c>
      <c r="B21" s="119" t="str">
        <f>'Công trình'!C11</f>
        <v>AF.81122</v>
      </c>
      <c r="C21" s="12"/>
      <c r="D21" s="119" t="str">
        <f>'Công trình'!D11</f>
        <v>Ván khuôn móng cột - Móng vuông, chữ nhật</v>
      </c>
      <c r="E21" s="18" t="str">
        <f>'Công trình'!E11</f>
        <v>100m2</v>
      </c>
      <c r="F21" s="97">
        <f>'Công trình'!L11</f>
        <v>0.2016</v>
      </c>
      <c r="G21" s="62"/>
      <c r="H21" s="62"/>
      <c r="I21" s="62"/>
      <c r="J21" s="12"/>
      <c r="K21" s="62"/>
      <c r="L21" s="62"/>
      <c r="M21" s="62"/>
    </row>
    <row r="22" spans="1:13" ht="15">
      <c r="A22" s="60"/>
      <c r="B22" s="39"/>
      <c r="C22" s="89"/>
      <c r="D22" s="39" t="s">
        <v>81</v>
      </c>
      <c r="E22" s="66"/>
      <c r="F22" s="14"/>
      <c r="G22" s="14"/>
      <c r="H22" s="14"/>
      <c r="I22" s="14"/>
      <c r="J22" s="89"/>
      <c r="K22" s="14"/>
      <c r="L22" s="14"/>
      <c r="M22" s="14"/>
    </row>
    <row r="23" spans="1:13" ht="15">
      <c r="A23" s="63"/>
      <c r="B23" s="49" t="str">
        <f>'Vật liệu'!B31</f>
        <v>V00772</v>
      </c>
      <c r="C23" s="100">
        <v>30</v>
      </c>
      <c r="D23" s="49" t="str">
        <f>" - "&amp;'Vật liệu'!E31</f>
        <v> - Đinh</v>
      </c>
      <c r="E23" s="69" t="str">
        <f>'Vật liệu'!F31</f>
        <v>kg</v>
      </c>
      <c r="F23" s="19"/>
      <c r="G23" s="19">
        <v>15</v>
      </c>
      <c r="H23" s="19"/>
      <c r="I23" s="19"/>
      <c r="J23" s="100">
        <v>1</v>
      </c>
      <c r="K23" s="19">
        <f>ROUND(F21*G23*J23,4)</f>
        <v>3.024</v>
      </c>
      <c r="L23" s="19"/>
      <c r="M23" s="19"/>
    </row>
    <row r="24" spans="1:13" ht="15">
      <c r="A24" s="63"/>
      <c r="B24" s="49" t="str">
        <f>'Vật liệu'!B39</f>
        <v>V00390</v>
      </c>
      <c r="C24" s="100">
        <v>10</v>
      </c>
      <c r="D24" s="49" t="str">
        <f>" - "&amp;'Vật liệu'!E39</f>
        <v> - Gỗ chống</v>
      </c>
      <c r="E24" s="69" t="str">
        <f>'Vật liệu'!F39</f>
        <v>m3</v>
      </c>
      <c r="F24" s="19"/>
      <c r="G24" s="19">
        <v>0.335</v>
      </c>
      <c r="H24" s="19"/>
      <c r="I24" s="19"/>
      <c r="J24" s="100">
        <v>1</v>
      </c>
      <c r="K24" s="19">
        <f>ROUND(F21*G24*J24,4)</f>
        <v>0.0675</v>
      </c>
      <c r="L24" s="19"/>
      <c r="M24" s="19"/>
    </row>
    <row r="25" spans="1:13" ht="15">
      <c r="A25" s="63"/>
      <c r="B25" s="49" t="str">
        <f>'Vật liệu'!B47</f>
        <v>V00402</v>
      </c>
      <c r="C25" s="100">
        <v>11</v>
      </c>
      <c r="D25" s="49" t="str">
        <f>" - "&amp;'Vật liệu'!E47</f>
        <v> - Gỗ ván</v>
      </c>
      <c r="E25" s="69" t="str">
        <f>'Vật liệu'!F47</f>
        <v>m3</v>
      </c>
      <c r="F25" s="19"/>
      <c r="G25" s="19">
        <v>0.794</v>
      </c>
      <c r="H25" s="19"/>
      <c r="I25" s="19"/>
      <c r="J25" s="100">
        <v>1</v>
      </c>
      <c r="K25" s="19">
        <f>ROUND(F21*G25*J25,4)</f>
        <v>0.1601</v>
      </c>
      <c r="L25" s="19"/>
      <c r="M25" s="19"/>
    </row>
    <row r="26" spans="1:13" ht="15">
      <c r="A26" s="63"/>
      <c r="B26" s="49" t="str">
        <f>'Vật liệu'!B43</f>
        <v>V05605</v>
      </c>
      <c r="C26" s="100">
        <v>37</v>
      </c>
      <c r="D26" s="49" t="str">
        <f>" - "&amp;'Vật liệu'!E43</f>
        <v> - Gỗ đà nẹp</v>
      </c>
      <c r="E26" s="69" t="str">
        <f>'Vật liệu'!F43</f>
        <v>m3</v>
      </c>
      <c r="F26" s="19"/>
      <c r="G26" s="19">
        <v>0.21</v>
      </c>
      <c r="H26" s="19"/>
      <c r="I26" s="19"/>
      <c r="J26" s="100">
        <v>1</v>
      </c>
      <c r="K26" s="19">
        <f>ROUND(F21*G26*J26,4)</f>
        <v>0.0423</v>
      </c>
      <c r="L26" s="19"/>
      <c r="M26" s="19"/>
    </row>
    <row r="27" spans="1:13" ht="15">
      <c r="A27" s="63"/>
      <c r="B27" s="49" t="str">
        <f>'Vật liệu'!B89</f>
        <v>V00750</v>
      </c>
      <c r="C27" s="100">
        <v>17</v>
      </c>
      <c r="D27" s="49" t="str">
        <f>" - "&amp;'Vật liệu'!E89</f>
        <v> - Vật liệu khác</v>
      </c>
      <c r="E27" s="69" t="str">
        <f>'Vật liệu'!F89</f>
        <v>%</v>
      </c>
      <c r="F27" s="19"/>
      <c r="G27" s="19">
        <v>1</v>
      </c>
      <c r="H27" s="19"/>
      <c r="I27" s="19"/>
      <c r="J27" s="100"/>
      <c r="K27" s="19"/>
      <c r="L27" s="19"/>
      <c r="M27" s="19"/>
    </row>
    <row r="28" spans="1:13" ht="15">
      <c r="A28" s="60"/>
      <c r="B28" s="39"/>
      <c r="C28" s="89"/>
      <c r="D28" s="39" t="s">
        <v>88</v>
      </c>
      <c r="E28" s="66"/>
      <c r="F28" s="14"/>
      <c r="G28" s="14"/>
      <c r="H28" s="14"/>
      <c r="I28" s="14"/>
      <c r="J28" s="89"/>
      <c r="K28" s="14"/>
      <c r="L28" s="14"/>
      <c r="M28" s="14"/>
    </row>
    <row r="29" spans="1:13" ht="15">
      <c r="A29" s="63"/>
      <c r="B29" s="49" t="str">
        <f>'Nhân công'!B12</f>
        <v>N0015</v>
      </c>
      <c r="C29" s="100">
        <v>51</v>
      </c>
      <c r="D29" s="49" t="s">
        <v>288</v>
      </c>
      <c r="E29" s="69" t="str">
        <f>'Nhân công'!H12</f>
        <v>công</v>
      </c>
      <c r="F29" s="19"/>
      <c r="G29" s="19"/>
      <c r="H29" s="19">
        <v>29.7</v>
      </c>
      <c r="I29" s="19"/>
      <c r="J29" s="100">
        <v>1</v>
      </c>
      <c r="K29" s="19"/>
      <c r="L29" s="19">
        <f>ROUND(F21*H29*J29,4)</f>
        <v>5.9875</v>
      </c>
      <c r="M29" s="19"/>
    </row>
    <row r="30" spans="1:13" ht="42.75">
      <c r="A30" s="110">
        <f>'Công trình'!A13</f>
        <v>4</v>
      </c>
      <c r="B30" s="119" t="str">
        <f>'Công trình'!C13</f>
        <v>AF.14112</v>
      </c>
      <c r="C30" s="12"/>
      <c r="D30" s="119" t="str">
        <f>'Công trình'!D13</f>
        <v>Bê tông móng, mố, trụ trên cạn SX bằng máy trộn, đổ bằng thủ công, bê tông M200, đá 1x2, PCB40</v>
      </c>
      <c r="E30" s="18" t="str">
        <f>'Công trình'!E13</f>
        <v>m3</v>
      </c>
      <c r="F30" s="97">
        <f>'Công trình'!L13</f>
        <v>6.048</v>
      </c>
      <c r="G30" s="62"/>
      <c r="H30" s="62"/>
      <c r="I30" s="62"/>
      <c r="J30" s="12"/>
      <c r="K30" s="62"/>
      <c r="L30" s="62"/>
      <c r="M30" s="62"/>
    </row>
    <row r="31" spans="1:13" ht="15">
      <c r="A31" s="60"/>
      <c r="B31" s="39"/>
      <c r="C31" s="89"/>
      <c r="D31" s="39" t="s">
        <v>81</v>
      </c>
      <c r="E31" s="66"/>
      <c r="F31" s="14"/>
      <c r="G31" s="14"/>
      <c r="H31" s="14"/>
      <c r="I31" s="14"/>
      <c r="J31" s="89"/>
      <c r="K31" s="14"/>
      <c r="L31" s="14"/>
      <c r="M31" s="14"/>
    </row>
    <row r="32" spans="1:13" ht="15">
      <c r="A32" s="63"/>
      <c r="B32" s="49" t="str">
        <f>'Vật liệu'!B85</f>
        <v>V08770</v>
      </c>
      <c r="C32" s="100">
        <v>40</v>
      </c>
      <c r="D32" s="49" t="str">
        <f>" - "&amp;'Vật liệu'!E85</f>
        <v> - Xi măng PCB40</v>
      </c>
      <c r="E32" s="69" t="str">
        <f>'Vật liệu'!F85</f>
        <v>kg</v>
      </c>
      <c r="F32" s="19"/>
      <c r="G32" s="19">
        <v>265.475</v>
      </c>
      <c r="H32" s="19"/>
      <c r="I32" s="19"/>
      <c r="J32" s="100">
        <v>1</v>
      </c>
      <c r="K32" s="19">
        <f>ROUND(F30*G32*J32,4)</f>
        <v>1605.5928</v>
      </c>
      <c r="L32" s="19"/>
      <c r="M32" s="19"/>
    </row>
    <row r="33" spans="1:13" ht="15">
      <c r="A33" s="63"/>
      <c r="B33" s="49" t="str">
        <f>'Vật liệu'!B10</f>
        <v>V00112</v>
      </c>
      <c r="C33" s="100">
        <v>7</v>
      </c>
      <c r="D33" s="49" t="str">
        <f>" - "&amp;'Vật liệu'!E10</f>
        <v> - Cát vàng</v>
      </c>
      <c r="E33" s="69" t="str">
        <f>'Vật liệu'!F10</f>
        <v>m3</v>
      </c>
      <c r="F33" s="19"/>
      <c r="G33" s="19">
        <v>0.5412</v>
      </c>
      <c r="H33" s="19"/>
      <c r="I33" s="19"/>
      <c r="J33" s="100">
        <v>1</v>
      </c>
      <c r="K33" s="19">
        <f>ROUND(F30*G33*J33,4)</f>
        <v>3.2732</v>
      </c>
      <c r="L33" s="19"/>
      <c r="M33" s="19"/>
    </row>
    <row r="34" spans="1:13" ht="15">
      <c r="A34" s="63"/>
      <c r="B34" s="49" t="str">
        <f>'Vật liệu'!B21</f>
        <v>V00811</v>
      </c>
      <c r="C34" s="100">
        <v>31</v>
      </c>
      <c r="D34" s="49" t="str">
        <f>" - "&amp;'Vật liệu'!E21</f>
        <v> - Đá dăm 1x2</v>
      </c>
      <c r="E34" s="69" t="str">
        <f>'Vật liệu'!F21</f>
        <v>m3</v>
      </c>
      <c r="F34" s="19"/>
      <c r="G34" s="19">
        <v>0.8928</v>
      </c>
      <c r="H34" s="19"/>
      <c r="I34" s="19"/>
      <c r="J34" s="100">
        <v>1</v>
      </c>
      <c r="K34" s="19">
        <f>ROUND(F30*G34*J34,4)</f>
        <v>5.3997</v>
      </c>
      <c r="L34" s="19"/>
      <c r="M34" s="19"/>
    </row>
    <row r="35" spans="1:13" ht="15">
      <c r="A35" s="63"/>
      <c r="B35" s="49" t="str">
        <f>'Vật liệu'!B53</f>
        <v>V00494</v>
      </c>
      <c r="C35" s="100">
        <v>12</v>
      </c>
      <c r="D35" s="49" t="str">
        <f>" - "&amp;'Vật liệu'!E53</f>
        <v> - Nước</v>
      </c>
      <c r="E35" s="69" t="str">
        <f>'Vật liệu'!F53</f>
        <v>lít</v>
      </c>
      <c r="F35" s="19"/>
      <c r="G35" s="19">
        <v>187.575</v>
      </c>
      <c r="H35" s="19"/>
      <c r="I35" s="19"/>
      <c r="J35" s="100">
        <v>1</v>
      </c>
      <c r="K35" s="19">
        <f>ROUND(F30*G35*J35,4)</f>
        <v>1134.4536</v>
      </c>
      <c r="L35" s="19"/>
      <c r="M35" s="19"/>
    </row>
    <row r="36" spans="1:13" ht="15">
      <c r="A36" s="63"/>
      <c r="B36" s="49" t="str">
        <f>'Vật liệu'!B89</f>
        <v>V00750</v>
      </c>
      <c r="C36" s="100">
        <v>18</v>
      </c>
      <c r="D36" s="49" t="str">
        <f>" - "&amp;'Vật liệu'!E89</f>
        <v> - Vật liệu khác</v>
      </c>
      <c r="E36" s="69" t="str">
        <f>'Vật liệu'!F89</f>
        <v>%</v>
      </c>
      <c r="F36" s="19"/>
      <c r="G36" s="19">
        <v>2</v>
      </c>
      <c r="H36" s="19"/>
      <c r="I36" s="19"/>
      <c r="J36" s="100"/>
      <c r="K36" s="19"/>
      <c r="L36" s="19"/>
      <c r="M36" s="19"/>
    </row>
    <row r="37" spans="1:13" ht="15">
      <c r="A37" s="60"/>
      <c r="B37" s="39"/>
      <c r="C37" s="89"/>
      <c r="D37" s="39" t="s">
        <v>88</v>
      </c>
      <c r="E37" s="66"/>
      <c r="F37" s="14"/>
      <c r="G37" s="14"/>
      <c r="H37" s="14"/>
      <c r="I37" s="14"/>
      <c r="J37" s="89"/>
      <c r="K37" s="14"/>
      <c r="L37" s="14"/>
      <c r="M37" s="14"/>
    </row>
    <row r="38" spans="1:13" ht="15">
      <c r="A38" s="63"/>
      <c r="B38" s="49" t="str">
        <f>'Nhân công'!B24</f>
        <v>N82940</v>
      </c>
      <c r="C38" s="100">
        <v>55</v>
      </c>
      <c r="D38" s="49" t="s">
        <v>230</v>
      </c>
      <c r="E38" s="69" t="str">
        <f>'Nhân công'!H24</f>
        <v>công</v>
      </c>
      <c r="F38" s="19"/>
      <c r="G38" s="19"/>
      <c r="H38" s="19">
        <v>2.04</v>
      </c>
      <c r="I38" s="19"/>
      <c r="J38" s="100">
        <v>1</v>
      </c>
      <c r="K38" s="19"/>
      <c r="L38" s="19">
        <f>ROUND(F30*H38*J38,4)</f>
        <v>12.3379</v>
      </c>
      <c r="M38" s="19"/>
    </row>
    <row r="39" spans="1:13" ht="15">
      <c r="A39" s="60"/>
      <c r="B39" s="39"/>
      <c r="C39" s="89"/>
      <c r="D39" s="39" t="s">
        <v>318</v>
      </c>
      <c r="E39" s="66"/>
      <c r="F39" s="14"/>
      <c r="G39" s="14"/>
      <c r="H39" s="14"/>
      <c r="I39" s="14"/>
      <c r="J39" s="89"/>
      <c r="K39" s="14"/>
      <c r="L39" s="14"/>
      <c r="M39" s="14"/>
    </row>
    <row r="40" spans="1:13" ht="30">
      <c r="A40" s="63"/>
      <c r="B40" s="49" t="str">
        <f>'Máy thi công'!B12</f>
        <v>M102.0202_TT11</v>
      </c>
      <c r="C40" s="100">
        <v>63</v>
      </c>
      <c r="D40" s="49" t="str">
        <f>" - "&amp;'Máy thi công'!D12</f>
        <v> - Cần cẩu bánh hơi - sức nâng: 16 T</v>
      </c>
      <c r="E40" s="69" t="str">
        <f>'Máy thi công'!E12</f>
        <v>ca</v>
      </c>
      <c r="F40" s="19"/>
      <c r="G40" s="19"/>
      <c r="H40" s="19"/>
      <c r="I40" s="19">
        <v>0.045</v>
      </c>
      <c r="J40" s="100">
        <v>1</v>
      </c>
      <c r="K40" s="19"/>
      <c r="L40" s="19"/>
      <c r="M40" s="19">
        <f>ROUND(F30*I40*J40,4)</f>
        <v>0.2722</v>
      </c>
    </row>
    <row r="41" spans="1:13" ht="15">
      <c r="A41" s="63"/>
      <c r="B41" s="49" t="str">
        <f>'Máy thi công'!B42</f>
        <v>M104.0101</v>
      </c>
      <c r="C41" s="100">
        <v>68</v>
      </c>
      <c r="D41" s="49" t="str">
        <f>" - "&amp;'Máy thi công'!D42</f>
        <v> - Máy trộn bê tông - dung tích: 250 lít</v>
      </c>
      <c r="E41" s="69" t="str">
        <f>'Máy thi công'!E42</f>
        <v>ca</v>
      </c>
      <c r="F41" s="19"/>
      <c r="G41" s="19"/>
      <c r="H41" s="19"/>
      <c r="I41" s="19">
        <v>0.095</v>
      </c>
      <c r="J41" s="100">
        <v>1</v>
      </c>
      <c r="K41" s="19"/>
      <c r="L41" s="19"/>
      <c r="M41" s="19">
        <f>ROUND(F30*I41*J41,4)</f>
        <v>0.5746</v>
      </c>
    </row>
    <row r="42" spans="1:13" ht="30">
      <c r="A42" s="63"/>
      <c r="B42" s="49" t="str">
        <f>'Máy thi công'!B31</f>
        <v>M112.1301_TT11</v>
      </c>
      <c r="C42" s="100">
        <v>71</v>
      </c>
      <c r="D42" s="49" t="str">
        <f>" - "&amp;'Máy thi công'!D31</f>
        <v> - Máy đầm bê tông, đầm dùi - công suất: 1,5 kW</v>
      </c>
      <c r="E42" s="69" t="str">
        <f>'Máy thi công'!E31</f>
        <v>ca</v>
      </c>
      <c r="F42" s="19"/>
      <c r="G42" s="19"/>
      <c r="H42" s="19"/>
      <c r="I42" s="19">
        <v>0.089</v>
      </c>
      <c r="J42" s="100">
        <v>1</v>
      </c>
      <c r="K42" s="19"/>
      <c r="L42" s="19"/>
      <c r="M42" s="19">
        <f>ROUND(F30*I42*J42,4)</f>
        <v>0.5383</v>
      </c>
    </row>
    <row r="43" spans="1:13" ht="15">
      <c r="A43" s="63"/>
      <c r="B43" s="49" t="str">
        <f>'Máy thi công'!B53</f>
        <v>M0111</v>
      </c>
      <c r="C43" s="100">
        <v>56</v>
      </c>
      <c r="D43" s="49" t="str">
        <f>" - "&amp;'Máy thi công'!D53</f>
        <v> - Máy khác</v>
      </c>
      <c r="E43" s="69" t="str">
        <f>'Máy thi công'!E53</f>
        <v>%</v>
      </c>
      <c r="F43" s="19"/>
      <c r="G43" s="19"/>
      <c r="H43" s="19"/>
      <c r="I43" s="19">
        <v>1</v>
      </c>
      <c r="J43" s="100"/>
      <c r="K43" s="19"/>
      <c r="L43" s="19"/>
      <c r="M43" s="19"/>
    </row>
    <row r="44" spans="1:13" ht="15">
      <c r="A44" s="110">
        <f>'Công trình'!A15</f>
        <v>5</v>
      </c>
      <c r="B44" s="119" t="str">
        <f>'Công trình'!C15</f>
        <v>AF.61120</v>
      </c>
      <c r="C44" s="12"/>
      <c r="D44" s="119" t="str">
        <f>'Công trình'!D15</f>
        <v>Lắp dựng cốt thép móng, ĐK ≤18mm</v>
      </c>
      <c r="E44" s="18" t="str">
        <f>'Công trình'!E15</f>
        <v>tấn</v>
      </c>
      <c r="F44" s="97">
        <f>'Công trình'!L15</f>
        <v>0.2889</v>
      </c>
      <c r="G44" s="62"/>
      <c r="H44" s="62"/>
      <c r="I44" s="62"/>
      <c r="J44" s="12"/>
      <c r="K44" s="62"/>
      <c r="L44" s="62"/>
      <c r="M44" s="62"/>
    </row>
    <row r="45" spans="1:13" ht="15">
      <c r="A45" s="60"/>
      <c r="B45" s="39"/>
      <c r="C45" s="89"/>
      <c r="D45" s="39" t="s">
        <v>81</v>
      </c>
      <c r="E45" s="66"/>
      <c r="F45" s="14"/>
      <c r="G45" s="14"/>
      <c r="H45" s="14"/>
      <c r="I45" s="14"/>
      <c r="J45" s="89"/>
      <c r="K45" s="14"/>
      <c r="L45" s="14"/>
      <c r="M45" s="14"/>
    </row>
    <row r="46" spans="1:13" ht="15">
      <c r="A46" s="63"/>
      <c r="B46" s="49" t="str">
        <f>'Vật liệu'!B63</f>
        <v>V00515</v>
      </c>
      <c r="C46" s="100">
        <v>13</v>
      </c>
      <c r="D46" s="49" t="str">
        <f>" - "&amp;'Vật liệu'!E63</f>
        <v> - Que hàn</v>
      </c>
      <c r="E46" s="69" t="str">
        <f>'Vật liệu'!F63</f>
        <v>kg</v>
      </c>
      <c r="F46" s="19"/>
      <c r="G46" s="19">
        <v>4.64</v>
      </c>
      <c r="H46" s="19"/>
      <c r="I46" s="19"/>
      <c r="J46" s="100">
        <v>1</v>
      </c>
      <c r="K46" s="19">
        <f>ROUND(F44*G46*J46,4)</f>
        <v>1.3405</v>
      </c>
      <c r="L46" s="19"/>
      <c r="M46" s="19"/>
    </row>
    <row r="47" spans="1:13" ht="15">
      <c r="A47" s="63"/>
      <c r="B47" s="49" t="str">
        <f>'Vật liệu'!B24</f>
        <v>V00226</v>
      </c>
      <c r="C47" s="100">
        <v>8</v>
      </c>
      <c r="D47" s="49" t="str">
        <f>" - "&amp;'Vật liệu'!E24</f>
        <v> - Dây thép</v>
      </c>
      <c r="E47" s="69" t="str">
        <f>'Vật liệu'!F24</f>
        <v>kg</v>
      </c>
      <c r="F47" s="19"/>
      <c r="G47" s="19">
        <v>9.28</v>
      </c>
      <c r="H47" s="19"/>
      <c r="I47" s="19"/>
      <c r="J47" s="100">
        <v>1</v>
      </c>
      <c r="K47" s="19">
        <f>ROUND(F44*G47*J47,4)</f>
        <v>2.681</v>
      </c>
      <c r="L47" s="19"/>
      <c r="M47" s="19"/>
    </row>
    <row r="48" spans="1:13" ht="15">
      <c r="A48" s="63"/>
      <c r="B48" s="49" t="str">
        <f>'Vật liệu'!B78</f>
        <v>V85993</v>
      </c>
      <c r="C48" s="100">
        <v>46</v>
      </c>
      <c r="D48" s="49" t="str">
        <f>" - "&amp;'Vật liệu'!E78</f>
        <v> - Thép tròn Fi ≤18mm</v>
      </c>
      <c r="E48" s="69" t="str">
        <f>'Vật liệu'!F78</f>
        <v>kg</v>
      </c>
      <c r="F48" s="19"/>
      <c r="G48" s="19">
        <v>1020</v>
      </c>
      <c r="H48" s="19"/>
      <c r="I48" s="19"/>
      <c r="J48" s="100">
        <v>1</v>
      </c>
      <c r="K48" s="19">
        <f>ROUND(F44*G48*J48,4)</f>
        <v>294.678</v>
      </c>
      <c r="L48" s="19"/>
      <c r="M48" s="19"/>
    </row>
    <row r="49" spans="1:13" ht="15">
      <c r="A49" s="60"/>
      <c r="B49" s="39"/>
      <c r="C49" s="89"/>
      <c r="D49" s="39" t="s">
        <v>88</v>
      </c>
      <c r="E49" s="66"/>
      <c r="F49" s="14"/>
      <c r="G49" s="14"/>
      <c r="H49" s="14"/>
      <c r="I49" s="14"/>
      <c r="J49" s="89"/>
      <c r="K49" s="14"/>
      <c r="L49" s="14"/>
      <c r="M49" s="14"/>
    </row>
    <row r="50" spans="1:13" ht="15">
      <c r="A50" s="63"/>
      <c r="B50" s="49" t="str">
        <f>'Nhân công'!B12</f>
        <v>N0015</v>
      </c>
      <c r="C50" s="100">
        <v>51</v>
      </c>
      <c r="D50" s="49" t="s">
        <v>288</v>
      </c>
      <c r="E50" s="69" t="str">
        <f>'Nhân công'!H12</f>
        <v>công</v>
      </c>
      <c r="F50" s="19"/>
      <c r="G50" s="19"/>
      <c r="H50" s="19">
        <v>7.67</v>
      </c>
      <c r="I50" s="19"/>
      <c r="J50" s="100">
        <v>1</v>
      </c>
      <c r="K50" s="19"/>
      <c r="L50" s="19">
        <f>ROUND(F44*H50*J50,4)</f>
        <v>2.2159</v>
      </c>
      <c r="M50" s="19"/>
    </row>
    <row r="51" spans="1:13" ht="15">
      <c r="A51" s="60"/>
      <c r="B51" s="39"/>
      <c r="C51" s="89"/>
      <c r="D51" s="39" t="s">
        <v>318</v>
      </c>
      <c r="E51" s="66"/>
      <c r="F51" s="14"/>
      <c r="G51" s="14"/>
      <c r="H51" s="14"/>
      <c r="I51" s="14"/>
      <c r="J51" s="89"/>
      <c r="K51" s="14"/>
      <c r="L51" s="14"/>
      <c r="M51" s="14"/>
    </row>
    <row r="52" spans="1:13" ht="15">
      <c r="A52" s="63"/>
      <c r="B52" s="49" t="str">
        <f>'Máy thi công'!B22</f>
        <v>M112.2601</v>
      </c>
      <c r="C52" s="100">
        <v>73</v>
      </c>
      <c r="D52" s="49" t="str">
        <f>" - "&amp;'Máy thi công'!D22</f>
        <v> - Máy cắt uốn cốt thép - công suất: 5 kW </v>
      </c>
      <c r="E52" s="69" t="str">
        <f>'Máy thi công'!E22</f>
        <v>ca</v>
      </c>
      <c r="F52" s="19"/>
      <c r="G52" s="19"/>
      <c r="H52" s="19"/>
      <c r="I52" s="19">
        <v>0.32</v>
      </c>
      <c r="J52" s="100">
        <v>1</v>
      </c>
      <c r="K52" s="19"/>
      <c r="L52" s="19"/>
      <c r="M52" s="19">
        <f>ROUND(F44*I52*J52,4)</f>
        <v>0.0924</v>
      </c>
    </row>
    <row r="53" spans="1:13" ht="30">
      <c r="A53" s="63"/>
      <c r="B53" s="49" t="str">
        <f>'Máy thi công'!B6</f>
        <v>M112.4002_TT11</v>
      </c>
      <c r="C53" s="100">
        <v>74</v>
      </c>
      <c r="D53" s="49" t="str">
        <f>" - "&amp;'Máy thi công'!D6</f>
        <v> - Biến thế hàn xoay chiều - công suất: 23 kW</v>
      </c>
      <c r="E53" s="69" t="str">
        <f>'Máy thi công'!E6</f>
        <v>ca</v>
      </c>
      <c r="F53" s="19"/>
      <c r="G53" s="19"/>
      <c r="H53" s="19"/>
      <c r="I53" s="19">
        <v>1.12</v>
      </c>
      <c r="J53" s="100">
        <v>1</v>
      </c>
      <c r="K53" s="19"/>
      <c r="L53" s="19"/>
      <c r="M53" s="19">
        <f>ROUND(F44*I53*J53,4)</f>
        <v>0.3236</v>
      </c>
    </row>
    <row r="54" spans="1:13" ht="15">
      <c r="A54" s="110">
        <f>'Công trình'!A17</f>
        <v>6</v>
      </c>
      <c r="B54" s="119" t="str">
        <f>'Công trình'!C17</f>
        <v>AF.81132</v>
      </c>
      <c r="C54" s="12"/>
      <c r="D54" s="119" t="str">
        <f>'Công trình'!D17</f>
        <v>Ván khuôn cột - Cột vuông, chữ nhật</v>
      </c>
      <c r="E54" s="18" t="str">
        <f>'Công trình'!E17</f>
        <v>100m2</v>
      </c>
      <c r="F54" s="97">
        <f>'Công trình'!L17</f>
        <v>0.312</v>
      </c>
      <c r="G54" s="62"/>
      <c r="H54" s="62"/>
      <c r="I54" s="62"/>
      <c r="J54" s="12"/>
      <c r="K54" s="62"/>
      <c r="L54" s="62"/>
      <c r="M54" s="62"/>
    </row>
    <row r="55" spans="1:13" ht="15">
      <c r="A55" s="60"/>
      <c r="B55" s="39"/>
      <c r="C55" s="89"/>
      <c r="D55" s="39" t="s">
        <v>81</v>
      </c>
      <c r="E55" s="66"/>
      <c r="F55" s="14"/>
      <c r="G55" s="14"/>
      <c r="H55" s="14"/>
      <c r="I55" s="14"/>
      <c r="J55" s="89"/>
      <c r="K55" s="14"/>
      <c r="L55" s="14"/>
      <c r="M55" s="14"/>
    </row>
    <row r="56" spans="1:13" ht="15">
      <c r="A56" s="63"/>
      <c r="B56" s="49" t="str">
        <f>'Vật liệu'!B31</f>
        <v>V00772</v>
      </c>
      <c r="C56" s="100">
        <v>30</v>
      </c>
      <c r="D56" s="49" t="str">
        <f>" - "&amp;'Vật liệu'!E31</f>
        <v> - Đinh</v>
      </c>
      <c r="E56" s="69" t="str">
        <f>'Vật liệu'!F31</f>
        <v>kg</v>
      </c>
      <c r="F56" s="19"/>
      <c r="G56" s="19">
        <v>15</v>
      </c>
      <c r="H56" s="19"/>
      <c r="I56" s="19"/>
      <c r="J56" s="100">
        <v>1</v>
      </c>
      <c r="K56" s="19">
        <f>ROUND(F54*G56*J56,4)</f>
        <v>4.68</v>
      </c>
      <c r="L56" s="19"/>
      <c r="M56" s="19"/>
    </row>
    <row r="57" spans="1:13" ht="15">
      <c r="A57" s="63"/>
      <c r="B57" s="49" t="str">
        <f>'Vật liệu'!B39</f>
        <v>V00390</v>
      </c>
      <c r="C57" s="100">
        <v>10</v>
      </c>
      <c r="D57" s="49" t="str">
        <f>" - "&amp;'Vật liệu'!E39</f>
        <v> - Gỗ chống</v>
      </c>
      <c r="E57" s="69" t="str">
        <f>'Vật liệu'!F39</f>
        <v>m3</v>
      </c>
      <c r="F57" s="19"/>
      <c r="G57" s="19">
        <v>0.496</v>
      </c>
      <c r="H57" s="19"/>
      <c r="I57" s="19"/>
      <c r="J57" s="100">
        <v>1</v>
      </c>
      <c r="K57" s="19">
        <f>ROUND(F54*G57*J57,4)</f>
        <v>0.1548</v>
      </c>
      <c r="L57" s="19"/>
      <c r="M57" s="19"/>
    </row>
    <row r="58" spans="1:13" ht="15">
      <c r="A58" s="63"/>
      <c r="B58" s="49" t="str">
        <f>'Vật liệu'!B47</f>
        <v>V00402</v>
      </c>
      <c r="C58" s="100">
        <v>11</v>
      </c>
      <c r="D58" s="49" t="str">
        <f>" - "&amp;'Vật liệu'!E47</f>
        <v> - Gỗ ván</v>
      </c>
      <c r="E58" s="69" t="str">
        <f>'Vật liệu'!F47</f>
        <v>m3</v>
      </c>
      <c r="F58" s="19"/>
      <c r="G58" s="19">
        <v>0.794</v>
      </c>
      <c r="H58" s="19"/>
      <c r="I58" s="19"/>
      <c r="J58" s="100">
        <v>1</v>
      </c>
      <c r="K58" s="19">
        <f>ROUND(F54*G58*J58,4)</f>
        <v>0.2477</v>
      </c>
      <c r="L58" s="19"/>
      <c r="M58" s="19"/>
    </row>
    <row r="59" spans="1:13" ht="15">
      <c r="A59" s="63"/>
      <c r="B59" s="49" t="str">
        <f>'Vật liệu'!B43</f>
        <v>V05605</v>
      </c>
      <c r="C59" s="100">
        <v>37</v>
      </c>
      <c r="D59" s="49" t="str">
        <f>" - "&amp;'Vật liệu'!E43</f>
        <v> - Gỗ đà nẹp</v>
      </c>
      <c r="E59" s="69" t="str">
        <f>'Vật liệu'!F43</f>
        <v>m3</v>
      </c>
      <c r="F59" s="19"/>
      <c r="G59" s="19">
        <v>0.149</v>
      </c>
      <c r="H59" s="19"/>
      <c r="I59" s="19"/>
      <c r="J59" s="100">
        <v>1</v>
      </c>
      <c r="K59" s="19">
        <f>ROUND(F54*G59*J59,4)</f>
        <v>0.0465</v>
      </c>
      <c r="L59" s="19"/>
      <c r="M59" s="19"/>
    </row>
    <row r="60" spans="1:13" ht="15">
      <c r="A60" s="63"/>
      <c r="B60" s="49" t="str">
        <f>'Vật liệu'!B89</f>
        <v>V00750</v>
      </c>
      <c r="C60" s="100">
        <v>20</v>
      </c>
      <c r="D60" s="49" t="str">
        <f>" - "&amp;'Vật liệu'!E89</f>
        <v> - Vật liệu khác</v>
      </c>
      <c r="E60" s="69" t="str">
        <f>'Vật liệu'!F89</f>
        <v>%</v>
      </c>
      <c r="F60" s="19"/>
      <c r="G60" s="19">
        <v>1</v>
      </c>
      <c r="H60" s="19"/>
      <c r="I60" s="19"/>
      <c r="J60" s="100"/>
      <c r="K60" s="19"/>
      <c r="L60" s="19"/>
      <c r="M60" s="19"/>
    </row>
    <row r="61" spans="1:13" ht="15">
      <c r="A61" s="60"/>
      <c r="B61" s="39"/>
      <c r="C61" s="89"/>
      <c r="D61" s="39" t="s">
        <v>88</v>
      </c>
      <c r="E61" s="66"/>
      <c r="F61" s="14"/>
      <c r="G61" s="14"/>
      <c r="H61" s="14"/>
      <c r="I61" s="14"/>
      <c r="J61" s="89"/>
      <c r="K61" s="14"/>
      <c r="L61" s="14"/>
      <c r="M61" s="14"/>
    </row>
    <row r="62" spans="1:13" ht="15">
      <c r="A62" s="63"/>
      <c r="B62" s="49" t="str">
        <f>'Nhân công'!B12</f>
        <v>N0015</v>
      </c>
      <c r="C62" s="100">
        <v>51</v>
      </c>
      <c r="D62" s="49" t="s">
        <v>288</v>
      </c>
      <c r="E62" s="69" t="str">
        <f>'Nhân công'!H12</f>
        <v>công</v>
      </c>
      <c r="F62" s="19"/>
      <c r="G62" s="19"/>
      <c r="H62" s="19">
        <v>31.9</v>
      </c>
      <c r="I62" s="19"/>
      <c r="J62" s="100">
        <v>1</v>
      </c>
      <c r="K62" s="19"/>
      <c r="L62" s="19">
        <f>ROUND(F54*H62*J62,4)</f>
        <v>9.9528</v>
      </c>
      <c r="M62" s="19"/>
    </row>
    <row r="63" spans="1:13" ht="42.75">
      <c r="A63" s="110">
        <f>'Công trình'!A19</f>
        <v>7</v>
      </c>
      <c r="B63" s="119" t="str">
        <f>'Công trình'!C19</f>
        <v>AF.12242</v>
      </c>
      <c r="C63" s="12"/>
      <c r="D63" s="119" t="str">
        <f>'Công trình'!D19</f>
        <v>Bê tông cột SX bằng máy trộn, đổ bằng thủ công, TD &gt;0,1m2, chiều cao ≤28m, M200, đá 1x2, PCB40</v>
      </c>
      <c r="E63" s="18" t="str">
        <f>'Công trình'!E19</f>
        <v>m3</v>
      </c>
      <c r="F63" s="97">
        <f>'Công trình'!L19</f>
        <v>3.12</v>
      </c>
      <c r="G63" s="62"/>
      <c r="H63" s="62"/>
      <c r="I63" s="62"/>
      <c r="J63" s="12"/>
      <c r="K63" s="62"/>
      <c r="L63" s="62"/>
      <c r="M63" s="62"/>
    </row>
    <row r="64" spans="1:13" ht="15">
      <c r="A64" s="60"/>
      <c r="B64" s="39"/>
      <c r="C64" s="89"/>
      <c r="D64" s="39" t="s">
        <v>81</v>
      </c>
      <c r="E64" s="66"/>
      <c r="F64" s="14"/>
      <c r="G64" s="14"/>
      <c r="H64" s="14"/>
      <c r="I64" s="14"/>
      <c r="J64" s="89"/>
      <c r="K64" s="14"/>
      <c r="L64" s="14"/>
      <c r="M64" s="14"/>
    </row>
    <row r="65" spans="1:13" ht="15">
      <c r="A65" s="63"/>
      <c r="B65" s="49" t="str">
        <f>'Vật liệu'!B85</f>
        <v>V08770</v>
      </c>
      <c r="C65" s="100">
        <v>40</v>
      </c>
      <c r="D65" s="49" t="str">
        <f>" - "&amp;'Vật liệu'!E85</f>
        <v> - Xi măng PCB40</v>
      </c>
      <c r="E65" s="69" t="str">
        <f>'Vật liệu'!F85</f>
        <v>kg</v>
      </c>
      <c r="F65" s="19"/>
      <c r="G65" s="19">
        <v>265.475</v>
      </c>
      <c r="H65" s="19"/>
      <c r="I65" s="19"/>
      <c r="J65" s="100">
        <v>1</v>
      </c>
      <c r="K65" s="19">
        <f>ROUND(F63*G65*J65,4)</f>
        <v>828.282</v>
      </c>
      <c r="L65" s="19"/>
      <c r="M65" s="19"/>
    </row>
    <row r="66" spans="1:13" ht="15">
      <c r="A66" s="63"/>
      <c r="B66" s="49" t="str">
        <f>'Vật liệu'!B10</f>
        <v>V00112</v>
      </c>
      <c r="C66" s="100">
        <v>7</v>
      </c>
      <c r="D66" s="49" t="str">
        <f>" - "&amp;'Vật liệu'!E10</f>
        <v> - Cát vàng</v>
      </c>
      <c r="E66" s="69" t="str">
        <f>'Vật liệu'!F10</f>
        <v>m3</v>
      </c>
      <c r="F66" s="19"/>
      <c r="G66" s="19">
        <v>0.5412</v>
      </c>
      <c r="H66" s="19"/>
      <c r="I66" s="19"/>
      <c r="J66" s="100">
        <v>1</v>
      </c>
      <c r="K66" s="19">
        <f>ROUND(F63*G66*J66,4)</f>
        <v>1.6885</v>
      </c>
      <c r="L66" s="19"/>
      <c r="M66" s="19"/>
    </row>
    <row r="67" spans="1:13" ht="15">
      <c r="A67" s="63"/>
      <c r="B67" s="49" t="str">
        <f>'Vật liệu'!B21</f>
        <v>V00811</v>
      </c>
      <c r="C67" s="100">
        <v>31</v>
      </c>
      <c r="D67" s="49" t="str">
        <f>" - "&amp;'Vật liệu'!E21</f>
        <v> - Đá dăm 1x2</v>
      </c>
      <c r="E67" s="69" t="str">
        <f>'Vật liệu'!F21</f>
        <v>m3</v>
      </c>
      <c r="F67" s="19"/>
      <c r="G67" s="19">
        <v>0.8928</v>
      </c>
      <c r="H67" s="19"/>
      <c r="I67" s="19"/>
      <c r="J67" s="100">
        <v>1</v>
      </c>
      <c r="K67" s="19">
        <f>ROUND(F63*G67*J67,4)</f>
        <v>2.7855</v>
      </c>
      <c r="L67" s="19"/>
      <c r="M67" s="19"/>
    </row>
    <row r="68" spans="1:13" ht="15">
      <c r="A68" s="63"/>
      <c r="B68" s="49" t="str">
        <f>'Vật liệu'!B53</f>
        <v>V00494</v>
      </c>
      <c r="C68" s="100">
        <v>12</v>
      </c>
      <c r="D68" s="49" t="str">
        <f>" - "&amp;'Vật liệu'!E53</f>
        <v> - Nước</v>
      </c>
      <c r="E68" s="69" t="str">
        <f>'Vật liệu'!F53</f>
        <v>lít</v>
      </c>
      <c r="F68" s="19"/>
      <c r="G68" s="19">
        <v>187.575</v>
      </c>
      <c r="H68" s="19"/>
      <c r="I68" s="19"/>
      <c r="J68" s="100">
        <v>1</v>
      </c>
      <c r="K68" s="19">
        <f>ROUND(F63*G68*J68,4)</f>
        <v>585.234</v>
      </c>
      <c r="L68" s="19"/>
      <c r="M68" s="19"/>
    </row>
    <row r="69" spans="1:13" ht="15">
      <c r="A69" s="63"/>
      <c r="B69" s="49" t="str">
        <f>'Vật liệu'!B89</f>
        <v>V00750</v>
      </c>
      <c r="C69" s="100">
        <v>21</v>
      </c>
      <c r="D69" s="49" t="str">
        <f>" - "&amp;'Vật liệu'!E89</f>
        <v> - Vật liệu khác</v>
      </c>
      <c r="E69" s="69" t="str">
        <f>'Vật liệu'!F89</f>
        <v>%</v>
      </c>
      <c r="F69" s="19"/>
      <c r="G69" s="19">
        <v>5</v>
      </c>
      <c r="H69" s="19"/>
      <c r="I69" s="19"/>
      <c r="J69" s="100"/>
      <c r="K69" s="19"/>
      <c r="L69" s="19"/>
      <c r="M69" s="19"/>
    </row>
    <row r="70" spans="1:13" ht="15">
      <c r="A70" s="60"/>
      <c r="B70" s="39"/>
      <c r="C70" s="89"/>
      <c r="D70" s="39" t="s">
        <v>88</v>
      </c>
      <c r="E70" s="66"/>
      <c r="F70" s="14"/>
      <c r="G70" s="14"/>
      <c r="H70" s="14"/>
      <c r="I70" s="14"/>
      <c r="J70" s="89"/>
      <c r="K70" s="14"/>
      <c r="L70" s="14"/>
      <c r="M70" s="14"/>
    </row>
    <row r="71" spans="1:13" ht="15">
      <c r="A71" s="63"/>
      <c r="B71" s="49" t="str">
        <f>'Nhân công'!B12</f>
        <v>N0015</v>
      </c>
      <c r="C71" s="100">
        <v>51</v>
      </c>
      <c r="D71" s="49" t="s">
        <v>288</v>
      </c>
      <c r="E71" s="69" t="str">
        <f>'Nhân công'!H12</f>
        <v>công</v>
      </c>
      <c r="F71" s="19"/>
      <c r="G71" s="19"/>
      <c r="H71" s="19">
        <v>3.03</v>
      </c>
      <c r="I71" s="19"/>
      <c r="J71" s="100">
        <v>1</v>
      </c>
      <c r="K71" s="19"/>
      <c r="L71" s="19">
        <f>ROUND(F63*H71*J71,4)</f>
        <v>9.4536</v>
      </c>
      <c r="M71" s="19"/>
    </row>
    <row r="72" spans="1:13" ht="15">
      <c r="A72" s="60"/>
      <c r="B72" s="39"/>
      <c r="C72" s="89"/>
      <c r="D72" s="39" t="s">
        <v>318</v>
      </c>
      <c r="E72" s="66"/>
      <c r="F72" s="14"/>
      <c r="G72" s="14"/>
      <c r="H72" s="14"/>
      <c r="I72" s="14"/>
      <c r="J72" s="89"/>
      <c r="K72" s="14"/>
      <c r="L72" s="14"/>
      <c r="M72" s="14"/>
    </row>
    <row r="73" spans="1:13" ht="30">
      <c r="A73" s="63"/>
      <c r="B73" s="49" t="str">
        <f>'Máy thi công'!B48</f>
        <v>M102.0902_TT11</v>
      </c>
      <c r="C73" s="100">
        <v>66</v>
      </c>
      <c r="D73" s="49" t="str">
        <f>" - "&amp;'Máy thi công'!D48</f>
        <v> - Máy vận thăng - sức nâng: 2 T</v>
      </c>
      <c r="E73" s="69" t="str">
        <f>'Máy thi công'!E48</f>
        <v>ca</v>
      </c>
      <c r="F73" s="19"/>
      <c r="G73" s="19"/>
      <c r="H73" s="19"/>
      <c r="I73" s="19">
        <v>0.11</v>
      </c>
      <c r="J73" s="100">
        <v>1</v>
      </c>
      <c r="K73" s="19"/>
      <c r="L73" s="19"/>
      <c r="M73" s="19">
        <f>ROUND(F63*I73*J73,4)</f>
        <v>0.3432</v>
      </c>
    </row>
    <row r="74" spans="1:13" ht="30">
      <c r="A74" s="63"/>
      <c r="B74" s="49" t="str">
        <f>'Máy thi công'!B31</f>
        <v>M112.1301_TT11</v>
      </c>
      <c r="C74" s="100">
        <v>71</v>
      </c>
      <c r="D74" s="49" t="str">
        <f>" - "&amp;'Máy thi công'!D31</f>
        <v> - Máy đầm bê tông, đầm dùi - công suất: 1,5 kW</v>
      </c>
      <c r="E74" s="69" t="str">
        <f>'Máy thi công'!E31</f>
        <v>ca</v>
      </c>
      <c r="F74" s="19"/>
      <c r="G74" s="19"/>
      <c r="H74" s="19"/>
      <c r="I74" s="19">
        <v>0.2</v>
      </c>
      <c r="J74" s="100">
        <v>1</v>
      </c>
      <c r="K74" s="19"/>
      <c r="L74" s="19"/>
      <c r="M74" s="19">
        <f>ROUND(F63*I74*J74,4)</f>
        <v>0.624</v>
      </c>
    </row>
    <row r="75" spans="1:13" ht="15">
      <c r="A75" s="63"/>
      <c r="B75" s="49" t="str">
        <f>'Máy thi công'!B42</f>
        <v>M104.0101</v>
      </c>
      <c r="C75" s="100">
        <v>68</v>
      </c>
      <c r="D75" s="49" t="str">
        <f>" - "&amp;'Máy thi công'!D42</f>
        <v> - Máy trộn bê tông - dung tích: 250 lít</v>
      </c>
      <c r="E75" s="69" t="str">
        <f>'Máy thi công'!E42</f>
        <v>ca</v>
      </c>
      <c r="F75" s="19"/>
      <c r="G75" s="19"/>
      <c r="H75" s="19"/>
      <c r="I75" s="19">
        <v>0.095</v>
      </c>
      <c r="J75" s="100">
        <v>1</v>
      </c>
      <c r="K75" s="19"/>
      <c r="L75" s="19"/>
      <c r="M75" s="19">
        <f>ROUND(F63*I75*J75,4)</f>
        <v>0.2964</v>
      </c>
    </row>
    <row r="76" spans="1:13" ht="28.5">
      <c r="A76" s="110">
        <f>'Công trình'!A21</f>
        <v>8</v>
      </c>
      <c r="B76" s="119" t="str">
        <f>'Công trình'!C21</f>
        <v>AF.61412</v>
      </c>
      <c r="C76" s="12"/>
      <c r="D76" s="119" t="str">
        <f>'Công trình'!D21</f>
        <v>Lắp dựng cốt thép cột, trụ, ĐK ≤10mm, chiều cao ≤28m</v>
      </c>
      <c r="E76" s="18" t="str">
        <f>'Công trình'!E21</f>
        <v>tấn</v>
      </c>
      <c r="F76" s="97">
        <f>'Công trình'!L21</f>
        <v>0.0923</v>
      </c>
      <c r="G76" s="62"/>
      <c r="H76" s="62"/>
      <c r="I76" s="62"/>
      <c r="J76" s="12"/>
      <c r="K76" s="62"/>
      <c r="L76" s="62"/>
      <c r="M76" s="62"/>
    </row>
    <row r="77" spans="1:13" ht="15">
      <c r="A77" s="60"/>
      <c r="B77" s="39"/>
      <c r="C77" s="89"/>
      <c r="D77" s="39" t="s">
        <v>81</v>
      </c>
      <c r="E77" s="66"/>
      <c r="F77" s="14"/>
      <c r="G77" s="14"/>
      <c r="H77" s="14"/>
      <c r="I77" s="14"/>
      <c r="J77" s="89"/>
      <c r="K77" s="14"/>
      <c r="L77" s="14"/>
      <c r="M77" s="14"/>
    </row>
    <row r="78" spans="1:13" ht="15">
      <c r="A78" s="63"/>
      <c r="B78" s="49" t="str">
        <f>'Vật liệu'!B24</f>
        <v>V00226</v>
      </c>
      <c r="C78" s="100">
        <v>8</v>
      </c>
      <c r="D78" s="49" t="str">
        <f>" - "&amp;'Vật liệu'!E24</f>
        <v> - Dây thép</v>
      </c>
      <c r="E78" s="69" t="str">
        <f>'Vật liệu'!F24</f>
        <v>kg</v>
      </c>
      <c r="F78" s="19"/>
      <c r="G78" s="19">
        <v>16.07</v>
      </c>
      <c r="H78" s="19"/>
      <c r="I78" s="19"/>
      <c r="J78" s="100">
        <v>1</v>
      </c>
      <c r="K78" s="19">
        <f>ROUND(F76*G78*J78,4)</f>
        <v>1.4833</v>
      </c>
      <c r="L78" s="19"/>
      <c r="M78" s="19"/>
    </row>
    <row r="79" spans="1:13" ht="15">
      <c r="A79" s="63"/>
      <c r="B79" s="49" t="str">
        <f>'Vật liệu'!B74</f>
        <v>V00656</v>
      </c>
      <c r="C79" s="100">
        <v>15</v>
      </c>
      <c r="D79" s="49" t="str">
        <f>" - "&amp;'Vật liệu'!E74</f>
        <v> - Thép tròn</v>
      </c>
      <c r="E79" s="69" t="str">
        <f>'Vật liệu'!F74</f>
        <v>kg</v>
      </c>
      <c r="F79" s="19"/>
      <c r="G79" s="19">
        <v>1005</v>
      </c>
      <c r="H79" s="19"/>
      <c r="I79" s="19"/>
      <c r="J79" s="100">
        <v>1</v>
      </c>
      <c r="K79" s="19">
        <f>ROUND(F76*G79*J79,4)</f>
        <v>92.7615</v>
      </c>
      <c r="L79" s="19"/>
      <c r="M79" s="19"/>
    </row>
    <row r="80" spans="1:13" ht="15">
      <c r="A80" s="60"/>
      <c r="B80" s="39"/>
      <c r="C80" s="89"/>
      <c r="D80" s="39" t="s">
        <v>88</v>
      </c>
      <c r="E80" s="66"/>
      <c r="F80" s="14"/>
      <c r="G80" s="14"/>
      <c r="H80" s="14"/>
      <c r="I80" s="14"/>
      <c r="J80" s="89"/>
      <c r="K80" s="14"/>
      <c r="L80" s="14"/>
      <c r="M80" s="14"/>
    </row>
    <row r="81" spans="1:13" ht="15">
      <c r="A81" s="63"/>
      <c r="B81" s="49" t="str">
        <f>'Nhân công'!B12</f>
        <v>N0015</v>
      </c>
      <c r="C81" s="100">
        <v>51</v>
      </c>
      <c r="D81" s="49" t="s">
        <v>288</v>
      </c>
      <c r="E81" s="69" t="str">
        <f>'Nhân công'!H12</f>
        <v>công</v>
      </c>
      <c r="F81" s="19"/>
      <c r="G81" s="19"/>
      <c r="H81" s="19">
        <v>14.5</v>
      </c>
      <c r="I81" s="19"/>
      <c r="J81" s="100">
        <v>1</v>
      </c>
      <c r="K81" s="19"/>
      <c r="L81" s="19">
        <f>ROUND(F76*H81*J81,4)</f>
        <v>1.3384</v>
      </c>
      <c r="M81" s="19"/>
    </row>
    <row r="82" spans="1:13" ht="15">
      <c r="A82" s="60"/>
      <c r="B82" s="39"/>
      <c r="C82" s="89"/>
      <c r="D82" s="39" t="s">
        <v>318</v>
      </c>
      <c r="E82" s="66"/>
      <c r="F82" s="14"/>
      <c r="G82" s="14"/>
      <c r="H82" s="14"/>
      <c r="I82" s="14"/>
      <c r="J82" s="89"/>
      <c r="K82" s="14"/>
      <c r="L82" s="14"/>
      <c r="M82" s="14"/>
    </row>
    <row r="83" spans="1:13" ht="15">
      <c r="A83" s="63"/>
      <c r="B83" s="49" t="str">
        <f>'Máy thi công'!B19</f>
        <v>M102.0406</v>
      </c>
      <c r="C83" s="100">
        <v>65</v>
      </c>
      <c r="D83" s="49" t="str">
        <f>" - "&amp;'Máy thi công'!D19</f>
        <v> - Cần trục tháp - sức nâng: 25 T</v>
      </c>
      <c r="E83" s="69" t="str">
        <f>'Máy thi công'!E19</f>
        <v>ca</v>
      </c>
      <c r="F83" s="19"/>
      <c r="G83" s="19"/>
      <c r="H83" s="19"/>
      <c r="I83" s="19">
        <v>0.015</v>
      </c>
      <c r="J83" s="100">
        <v>1</v>
      </c>
      <c r="K83" s="19"/>
      <c r="L83" s="19"/>
      <c r="M83" s="19">
        <f>ROUND(F76*I83*J83,4)</f>
        <v>0.0014</v>
      </c>
    </row>
    <row r="84" spans="1:13" ht="15">
      <c r="A84" s="63"/>
      <c r="B84" s="49" t="str">
        <f>'Máy thi công'!B22</f>
        <v>M112.2601</v>
      </c>
      <c r="C84" s="100">
        <v>73</v>
      </c>
      <c r="D84" s="49" t="str">
        <f>" - "&amp;'Máy thi công'!D22</f>
        <v> - Máy cắt uốn cốt thép - công suất: 5 kW </v>
      </c>
      <c r="E84" s="69" t="str">
        <f>'Máy thi công'!E22</f>
        <v>ca</v>
      </c>
      <c r="F84" s="19"/>
      <c r="G84" s="19"/>
      <c r="H84" s="19"/>
      <c r="I84" s="19">
        <v>0.4</v>
      </c>
      <c r="J84" s="100">
        <v>1</v>
      </c>
      <c r="K84" s="19"/>
      <c r="L84" s="19"/>
      <c r="M84" s="19">
        <f>ROUND(F76*I84*J84,4)</f>
        <v>0.0369</v>
      </c>
    </row>
    <row r="85" spans="1:13" ht="15">
      <c r="A85" s="63"/>
      <c r="B85" s="49" t="str">
        <f>'Máy thi công'!B50</f>
        <v>M102.1001</v>
      </c>
      <c r="C85" s="100">
        <v>67</v>
      </c>
      <c r="D85" s="49" t="str">
        <f>" - "&amp;'Máy thi công'!D50</f>
        <v> - Máy vận thăng lồng - sức nâng: 3 T</v>
      </c>
      <c r="E85" s="69" t="str">
        <f>'Máy thi công'!E50</f>
        <v>ca</v>
      </c>
      <c r="F85" s="19"/>
      <c r="G85" s="19"/>
      <c r="H85" s="19"/>
      <c r="I85" s="19">
        <v>0.015</v>
      </c>
      <c r="J85" s="100">
        <v>1</v>
      </c>
      <c r="K85" s="19"/>
      <c r="L85" s="19"/>
      <c r="M85" s="19">
        <f>ROUND(F76*I85*J85,4)</f>
        <v>0.0014</v>
      </c>
    </row>
    <row r="86" spans="1:13" ht="15">
      <c r="A86" s="63"/>
      <c r="B86" s="49" t="str">
        <f>'Máy thi công'!B53</f>
        <v>M0111</v>
      </c>
      <c r="C86" s="100">
        <v>57</v>
      </c>
      <c r="D86" s="49" t="str">
        <f>" - "&amp;'Máy thi công'!D53</f>
        <v> - Máy khác</v>
      </c>
      <c r="E86" s="69" t="str">
        <f>'Máy thi công'!E53</f>
        <v>%</v>
      </c>
      <c r="F86" s="19"/>
      <c r="G86" s="19"/>
      <c r="H86" s="19"/>
      <c r="I86" s="19">
        <v>2</v>
      </c>
      <c r="J86" s="100"/>
      <c r="K86" s="19"/>
      <c r="L86" s="19"/>
      <c r="M86" s="19"/>
    </row>
    <row r="87" spans="1:13" ht="28.5">
      <c r="A87" s="110">
        <f>'Công trình'!A23</f>
        <v>9</v>
      </c>
      <c r="B87" s="119" t="str">
        <f>'Công trình'!C23</f>
        <v>AF.61422</v>
      </c>
      <c r="C87" s="12"/>
      <c r="D87" s="119" t="str">
        <f>'Công trình'!D23</f>
        <v>Lắp dựng cốt thép cột, trụ, ĐK ≤18mm, chiều cao ≤28m</v>
      </c>
      <c r="E87" s="18" t="str">
        <f>'Công trình'!E23</f>
        <v>tấn</v>
      </c>
      <c r="F87" s="97">
        <f>'Công trình'!L23</f>
        <v>0.4163</v>
      </c>
      <c r="G87" s="62"/>
      <c r="H87" s="62"/>
      <c r="I87" s="62"/>
      <c r="J87" s="12"/>
      <c r="K87" s="62"/>
      <c r="L87" s="62"/>
      <c r="M87" s="62"/>
    </row>
    <row r="88" spans="1:13" ht="15">
      <c r="A88" s="60"/>
      <c r="B88" s="39"/>
      <c r="C88" s="89"/>
      <c r="D88" s="39" t="s">
        <v>81</v>
      </c>
      <c r="E88" s="66"/>
      <c r="F88" s="14"/>
      <c r="G88" s="14"/>
      <c r="H88" s="14"/>
      <c r="I88" s="14"/>
      <c r="J88" s="89"/>
      <c r="K88" s="14"/>
      <c r="L88" s="14"/>
      <c r="M88" s="14"/>
    </row>
    <row r="89" spans="1:13" ht="15">
      <c r="A89" s="63"/>
      <c r="B89" s="49" t="str">
        <f>'Vật liệu'!B63</f>
        <v>V00515</v>
      </c>
      <c r="C89" s="100">
        <v>13</v>
      </c>
      <c r="D89" s="49" t="str">
        <f>" - "&amp;'Vật liệu'!E63</f>
        <v> - Que hàn</v>
      </c>
      <c r="E89" s="69" t="str">
        <f>'Vật liệu'!F63</f>
        <v>kg</v>
      </c>
      <c r="F89" s="19"/>
      <c r="G89" s="19">
        <v>4.82</v>
      </c>
      <c r="H89" s="19"/>
      <c r="I89" s="19"/>
      <c r="J89" s="100">
        <v>1</v>
      </c>
      <c r="K89" s="19">
        <f>ROUND(F87*G89*J89,4)</f>
        <v>2.0066</v>
      </c>
      <c r="L89" s="19"/>
      <c r="M89" s="19"/>
    </row>
    <row r="90" spans="1:13" ht="15">
      <c r="A90" s="63"/>
      <c r="B90" s="49" t="str">
        <f>'Vật liệu'!B24</f>
        <v>V00226</v>
      </c>
      <c r="C90" s="100">
        <v>8</v>
      </c>
      <c r="D90" s="49" t="str">
        <f>" - "&amp;'Vật liệu'!E24</f>
        <v> - Dây thép</v>
      </c>
      <c r="E90" s="69" t="str">
        <f>'Vật liệu'!F24</f>
        <v>kg</v>
      </c>
      <c r="F90" s="19"/>
      <c r="G90" s="19">
        <v>9.28</v>
      </c>
      <c r="H90" s="19"/>
      <c r="I90" s="19"/>
      <c r="J90" s="100">
        <v>1</v>
      </c>
      <c r="K90" s="19">
        <f>ROUND(F87*G90*J90,4)</f>
        <v>3.8633</v>
      </c>
      <c r="L90" s="19"/>
      <c r="M90" s="19"/>
    </row>
    <row r="91" spans="1:13" ht="15">
      <c r="A91" s="63"/>
      <c r="B91" s="49" t="str">
        <f>'Vật liệu'!B78</f>
        <v>V85993</v>
      </c>
      <c r="C91" s="100">
        <v>46</v>
      </c>
      <c r="D91" s="49" t="str">
        <f>" - "&amp;'Vật liệu'!E78</f>
        <v> - Thép tròn Fi ≤18mm</v>
      </c>
      <c r="E91" s="69" t="str">
        <f>'Vật liệu'!F78</f>
        <v>kg</v>
      </c>
      <c r="F91" s="19"/>
      <c r="G91" s="19">
        <v>1020</v>
      </c>
      <c r="H91" s="19"/>
      <c r="I91" s="19"/>
      <c r="J91" s="100">
        <v>1</v>
      </c>
      <c r="K91" s="19">
        <f>ROUND(F87*G91*J91,4)</f>
        <v>424.626</v>
      </c>
      <c r="L91" s="19"/>
      <c r="M91" s="19"/>
    </row>
    <row r="92" spans="1:13" ht="15">
      <c r="A92" s="60"/>
      <c r="B92" s="39"/>
      <c r="C92" s="89"/>
      <c r="D92" s="39" t="s">
        <v>88</v>
      </c>
      <c r="E92" s="66"/>
      <c r="F92" s="14"/>
      <c r="G92" s="14"/>
      <c r="H92" s="14"/>
      <c r="I92" s="14"/>
      <c r="J92" s="89"/>
      <c r="K92" s="14"/>
      <c r="L92" s="14"/>
      <c r="M92" s="14"/>
    </row>
    <row r="93" spans="1:13" ht="15">
      <c r="A93" s="63"/>
      <c r="B93" s="49" t="str">
        <f>'Nhân công'!B12</f>
        <v>N0015</v>
      </c>
      <c r="C93" s="100">
        <v>51</v>
      </c>
      <c r="D93" s="49" t="s">
        <v>288</v>
      </c>
      <c r="E93" s="69" t="str">
        <f>'Nhân công'!H12</f>
        <v>công</v>
      </c>
      <c r="F93" s="19"/>
      <c r="G93" s="19"/>
      <c r="H93" s="19">
        <v>9.37</v>
      </c>
      <c r="I93" s="19"/>
      <c r="J93" s="100">
        <v>1</v>
      </c>
      <c r="K93" s="19"/>
      <c r="L93" s="19">
        <f>ROUND(F87*H93*J93,4)</f>
        <v>3.9007</v>
      </c>
      <c r="M93" s="19"/>
    </row>
    <row r="94" spans="1:13" ht="15">
      <c r="A94" s="60"/>
      <c r="B94" s="39"/>
      <c r="C94" s="89"/>
      <c r="D94" s="39" t="s">
        <v>318</v>
      </c>
      <c r="E94" s="66"/>
      <c r="F94" s="14"/>
      <c r="G94" s="14"/>
      <c r="H94" s="14"/>
      <c r="I94" s="14"/>
      <c r="J94" s="89"/>
      <c r="K94" s="14"/>
      <c r="L94" s="14"/>
      <c r="M94" s="14"/>
    </row>
    <row r="95" spans="1:13" ht="15">
      <c r="A95" s="63"/>
      <c r="B95" s="49" t="str">
        <f>'Máy thi công'!B19</f>
        <v>M102.0406</v>
      </c>
      <c r="C95" s="100">
        <v>65</v>
      </c>
      <c r="D95" s="49" t="str">
        <f>" - "&amp;'Máy thi công'!D19</f>
        <v> - Cần trục tháp - sức nâng: 25 T</v>
      </c>
      <c r="E95" s="69" t="str">
        <f>'Máy thi công'!E19</f>
        <v>ca</v>
      </c>
      <c r="F95" s="19"/>
      <c r="G95" s="19"/>
      <c r="H95" s="19"/>
      <c r="I95" s="19">
        <v>0.012</v>
      </c>
      <c r="J95" s="100">
        <v>1</v>
      </c>
      <c r="K95" s="19"/>
      <c r="L95" s="19"/>
      <c r="M95" s="19">
        <f>ROUND(F87*I95*J95,4)</f>
        <v>0.005</v>
      </c>
    </row>
    <row r="96" spans="1:13" ht="15">
      <c r="A96" s="63"/>
      <c r="B96" s="49" t="str">
        <f>'Máy thi công'!B50</f>
        <v>M102.1001</v>
      </c>
      <c r="C96" s="100">
        <v>67</v>
      </c>
      <c r="D96" s="49" t="str">
        <f>" - "&amp;'Máy thi công'!D50</f>
        <v> - Máy vận thăng lồng - sức nâng: 3 T</v>
      </c>
      <c r="E96" s="69" t="str">
        <f>'Máy thi công'!E50</f>
        <v>ca</v>
      </c>
      <c r="F96" s="19"/>
      <c r="G96" s="19"/>
      <c r="H96" s="19"/>
      <c r="I96" s="19">
        <v>0.012</v>
      </c>
      <c r="J96" s="100">
        <v>1</v>
      </c>
      <c r="K96" s="19"/>
      <c r="L96" s="19"/>
      <c r="M96" s="19">
        <f>ROUND(F87*I96*J96,4)</f>
        <v>0.005</v>
      </c>
    </row>
    <row r="97" spans="1:13" ht="30">
      <c r="A97" s="63"/>
      <c r="B97" s="49" t="str">
        <f>'Máy thi công'!B6</f>
        <v>M112.4002_TT11</v>
      </c>
      <c r="C97" s="100">
        <v>74</v>
      </c>
      <c r="D97" s="49" t="str">
        <f>" - "&amp;'Máy thi công'!D6</f>
        <v> - Biến thế hàn xoay chiều - công suất: 23 kW</v>
      </c>
      <c r="E97" s="69" t="str">
        <f>'Máy thi công'!E6</f>
        <v>ca</v>
      </c>
      <c r="F97" s="19"/>
      <c r="G97" s="19"/>
      <c r="H97" s="19"/>
      <c r="I97" s="19">
        <v>1.16</v>
      </c>
      <c r="J97" s="100">
        <v>1</v>
      </c>
      <c r="K97" s="19"/>
      <c r="L97" s="19"/>
      <c r="M97" s="19">
        <f>ROUND(F87*I97*J97,4)</f>
        <v>0.4829</v>
      </c>
    </row>
    <row r="98" spans="1:13" ht="15">
      <c r="A98" s="63"/>
      <c r="B98" s="49" t="str">
        <f>'Máy thi công'!B22</f>
        <v>M112.2601</v>
      </c>
      <c r="C98" s="100">
        <v>73</v>
      </c>
      <c r="D98" s="49" t="str">
        <f>" - "&amp;'Máy thi công'!D22</f>
        <v> - Máy cắt uốn cốt thép - công suất: 5 kW </v>
      </c>
      <c r="E98" s="69" t="str">
        <f>'Máy thi công'!E22</f>
        <v>ca</v>
      </c>
      <c r="F98" s="19"/>
      <c r="G98" s="19"/>
      <c r="H98" s="19"/>
      <c r="I98" s="19">
        <v>0.32</v>
      </c>
      <c r="J98" s="100">
        <v>1</v>
      </c>
      <c r="K98" s="19"/>
      <c r="L98" s="19"/>
      <c r="M98" s="19">
        <f>ROUND(F87*I98*J98,4)</f>
        <v>0.1332</v>
      </c>
    </row>
    <row r="99" spans="1:13" ht="15">
      <c r="A99" s="63"/>
      <c r="B99" s="49" t="str">
        <f>'Máy thi công'!B53</f>
        <v>M0111</v>
      </c>
      <c r="C99" s="100">
        <v>58</v>
      </c>
      <c r="D99" s="49" t="str">
        <f>" - "&amp;'Máy thi công'!D53</f>
        <v> - Máy khác</v>
      </c>
      <c r="E99" s="69" t="str">
        <f>'Máy thi công'!E53</f>
        <v>%</v>
      </c>
      <c r="F99" s="19"/>
      <c r="G99" s="19"/>
      <c r="H99" s="19"/>
      <c r="I99" s="19">
        <v>2</v>
      </c>
      <c r="J99" s="100"/>
      <c r="K99" s="19"/>
      <c r="L99" s="19"/>
      <c r="M99" s="19"/>
    </row>
    <row r="100" spans="1:13" ht="28.5">
      <c r="A100" s="110">
        <f>'Công trình'!A25</f>
        <v>10</v>
      </c>
      <c r="B100" s="119" t="str">
        <f>'Công trình'!C25</f>
        <v>AI.11121</v>
      </c>
      <c r="C100" s="12"/>
      <c r="D100" s="119" t="str">
        <f>'Công trình'!D25</f>
        <v>Gia công vì kèo thép hình khẩu độ nhỏ, khẩu độ ≤9m</v>
      </c>
      <c r="E100" s="18" t="str">
        <f>'Công trình'!E25</f>
        <v>tấn</v>
      </c>
      <c r="F100" s="97">
        <f>'Công trình'!L25</f>
        <v>0.2231</v>
      </c>
      <c r="G100" s="62"/>
      <c r="H100" s="62"/>
      <c r="I100" s="62"/>
      <c r="J100" s="12"/>
      <c r="K100" s="62"/>
      <c r="L100" s="62"/>
      <c r="M100" s="62"/>
    </row>
    <row r="101" spans="1:13" ht="15">
      <c r="A101" s="60"/>
      <c r="B101" s="39"/>
      <c r="C101" s="89"/>
      <c r="D101" s="39" t="s">
        <v>81</v>
      </c>
      <c r="E101" s="66"/>
      <c r="F101" s="14"/>
      <c r="G101" s="14"/>
      <c r="H101" s="14"/>
      <c r="I101" s="14"/>
      <c r="J101" s="89"/>
      <c r="K101" s="14"/>
      <c r="L101" s="14"/>
      <c r="M101" s="14"/>
    </row>
    <row r="102" spans="1:13" ht="15">
      <c r="A102" s="63"/>
      <c r="B102" s="49" t="str">
        <f>'Vật liệu'!B51</f>
        <v>V05607</v>
      </c>
      <c r="C102" s="100">
        <v>38</v>
      </c>
      <c r="D102" s="49" t="str">
        <f>" - "&amp;'Vật liệu'!E51</f>
        <v> - Khí gas</v>
      </c>
      <c r="E102" s="69" t="str">
        <f>'Vật liệu'!F51</f>
        <v>kg</v>
      </c>
      <c r="F102" s="19"/>
      <c r="G102" s="19">
        <v>5.64</v>
      </c>
      <c r="H102" s="19"/>
      <c r="I102" s="19"/>
      <c r="J102" s="100">
        <v>1</v>
      </c>
      <c r="K102" s="19">
        <f>ROUND(F100*G102*J102,4)</f>
        <v>1.2583</v>
      </c>
      <c r="L102" s="19"/>
      <c r="M102" s="19"/>
    </row>
    <row r="103" spans="1:13" ht="15">
      <c r="A103" s="63"/>
      <c r="B103" s="49" t="str">
        <f>'Vật liệu'!B63</f>
        <v>V00515</v>
      </c>
      <c r="C103" s="100">
        <v>13</v>
      </c>
      <c r="D103" s="49" t="str">
        <f>" - "&amp;'Vật liệu'!E63</f>
        <v> - Que hàn</v>
      </c>
      <c r="E103" s="69" t="str">
        <f>'Vật liệu'!F63</f>
        <v>kg</v>
      </c>
      <c r="F103" s="19"/>
      <c r="G103" s="19">
        <v>15.54</v>
      </c>
      <c r="H103" s="19"/>
      <c r="I103" s="19"/>
      <c r="J103" s="100">
        <v>1</v>
      </c>
      <c r="K103" s="19">
        <f>ROUND(F100*G103*J103,4)</f>
        <v>3.467</v>
      </c>
      <c r="L103" s="19"/>
      <c r="M103" s="19"/>
    </row>
    <row r="104" spans="1:13" ht="15">
      <c r="A104" s="63"/>
      <c r="B104" s="49" t="str">
        <f>'Vật liệu'!B69</f>
        <v>V00641</v>
      </c>
      <c r="C104" s="100">
        <v>14</v>
      </c>
      <c r="D104" s="49" t="str">
        <f>" - "&amp;'Vật liệu'!E69</f>
        <v> - Thép hình</v>
      </c>
      <c r="E104" s="69" t="str">
        <f>'Vật liệu'!F69</f>
        <v>kg</v>
      </c>
      <c r="F104" s="19"/>
      <c r="G104" s="19">
        <v>802</v>
      </c>
      <c r="H104" s="19"/>
      <c r="I104" s="19"/>
      <c r="J104" s="100">
        <v>1</v>
      </c>
      <c r="K104" s="19">
        <f>ROUND(F100*G104*J104,4)</f>
        <v>178.9262</v>
      </c>
      <c r="L104" s="19"/>
      <c r="M104" s="19"/>
    </row>
    <row r="105" spans="1:13" ht="15">
      <c r="A105" s="63"/>
      <c r="B105" s="49" t="str">
        <f>'Vật liệu'!B72</f>
        <v>V00671</v>
      </c>
      <c r="C105" s="100">
        <v>16</v>
      </c>
      <c r="D105" s="49" t="str">
        <f>" - "&amp;'Vật liệu'!E72</f>
        <v> - Thép tấm</v>
      </c>
      <c r="E105" s="69" t="str">
        <f>'Vật liệu'!F72</f>
        <v>kg</v>
      </c>
      <c r="F105" s="19"/>
      <c r="G105" s="19">
        <v>230</v>
      </c>
      <c r="H105" s="19"/>
      <c r="I105" s="19"/>
      <c r="J105" s="100">
        <v>1</v>
      </c>
      <c r="K105" s="19">
        <f>ROUND(F100*G105*J105,4)</f>
        <v>51.313</v>
      </c>
      <c r="L105" s="19"/>
      <c r="M105" s="19"/>
    </row>
    <row r="106" spans="1:13" ht="15">
      <c r="A106" s="63"/>
      <c r="B106" s="49" t="str">
        <f>'Vật liệu'!B61</f>
        <v>V42212</v>
      </c>
      <c r="C106" s="100">
        <v>41</v>
      </c>
      <c r="D106" s="49" t="str">
        <f>" - "&amp;'Vật liệu'!E61</f>
        <v> - Oxy</v>
      </c>
      <c r="E106" s="69" t="str">
        <f>'Vật liệu'!F61</f>
        <v>chai</v>
      </c>
      <c r="F106" s="19"/>
      <c r="G106" s="19">
        <v>2.82</v>
      </c>
      <c r="H106" s="19"/>
      <c r="I106" s="19"/>
      <c r="J106" s="100">
        <v>1</v>
      </c>
      <c r="K106" s="19">
        <f>ROUND(F100*G106*J106,4)</f>
        <v>0.6291</v>
      </c>
      <c r="L106" s="19"/>
      <c r="M106" s="19"/>
    </row>
    <row r="107" spans="1:13" ht="15">
      <c r="A107" s="63"/>
      <c r="B107" s="49" t="str">
        <f>'Vật liệu'!B89</f>
        <v>V00750</v>
      </c>
      <c r="C107" s="100">
        <v>22</v>
      </c>
      <c r="D107" s="49" t="str">
        <f>" - "&amp;'Vật liệu'!E89</f>
        <v> - Vật liệu khác</v>
      </c>
      <c r="E107" s="69" t="str">
        <f>'Vật liệu'!F89</f>
        <v>%</v>
      </c>
      <c r="F107" s="19"/>
      <c r="G107" s="19">
        <v>0.5</v>
      </c>
      <c r="H107" s="19"/>
      <c r="I107" s="19"/>
      <c r="J107" s="100"/>
      <c r="K107" s="19"/>
      <c r="L107" s="19"/>
      <c r="M107" s="19"/>
    </row>
    <row r="108" spans="1:13" ht="15">
      <c r="A108" s="60"/>
      <c r="B108" s="39"/>
      <c r="C108" s="89"/>
      <c r="D108" s="39" t="s">
        <v>88</v>
      </c>
      <c r="E108" s="66"/>
      <c r="F108" s="14"/>
      <c r="G108" s="14"/>
      <c r="H108" s="14"/>
      <c r="I108" s="14"/>
      <c r="J108" s="89"/>
      <c r="K108" s="14"/>
      <c r="L108" s="14"/>
      <c r="M108" s="14"/>
    </row>
    <row r="109" spans="1:13" ht="15">
      <c r="A109" s="63"/>
      <c r="B109" s="49" t="str">
        <f>'Nhân công'!B27</f>
        <v>N0020</v>
      </c>
      <c r="C109" s="100">
        <v>52</v>
      </c>
      <c r="D109" s="49" t="s">
        <v>351</v>
      </c>
      <c r="E109" s="69" t="str">
        <f>'Nhân công'!H27</f>
        <v>công</v>
      </c>
      <c r="F109" s="19"/>
      <c r="G109" s="19"/>
      <c r="H109" s="19">
        <v>29.75</v>
      </c>
      <c r="I109" s="19"/>
      <c r="J109" s="100">
        <v>1</v>
      </c>
      <c r="K109" s="19"/>
      <c r="L109" s="19">
        <f>ROUND(F100*H109*J109,4)</f>
        <v>6.6372</v>
      </c>
      <c r="M109" s="19"/>
    </row>
    <row r="110" spans="1:13" ht="15">
      <c r="A110" s="60"/>
      <c r="B110" s="39"/>
      <c r="C110" s="89"/>
      <c r="D110" s="39" t="s">
        <v>318</v>
      </c>
      <c r="E110" s="66"/>
      <c r="F110" s="14"/>
      <c r="G110" s="14"/>
      <c r="H110" s="14"/>
      <c r="I110" s="14"/>
      <c r="J110" s="89"/>
      <c r="K110" s="14"/>
      <c r="L110" s="14"/>
      <c r="M110" s="14"/>
    </row>
    <row r="111" spans="1:13" ht="15">
      <c r="A111" s="63"/>
      <c r="B111" s="49" t="str">
        <f>'Máy thi công'!B15</f>
        <v>M102.0302</v>
      </c>
      <c r="C111" s="100">
        <v>64</v>
      </c>
      <c r="D111" s="49" t="str">
        <f>" - "&amp;'Máy thi công'!D15</f>
        <v> - Cần cẩu bánh xích - sức nâng: 10 T</v>
      </c>
      <c r="E111" s="69" t="str">
        <f>'Máy thi công'!E15</f>
        <v>ca</v>
      </c>
      <c r="F111" s="19"/>
      <c r="G111" s="19"/>
      <c r="H111" s="19"/>
      <c r="I111" s="19">
        <v>0.722</v>
      </c>
      <c r="J111" s="100">
        <v>1</v>
      </c>
      <c r="K111" s="19"/>
      <c r="L111" s="19"/>
      <c r="M111" s="19">
        <f>ROUND(F100*I111*J111,4)</f>
        <v>0.1611</v>
      </c>
    </row>
    <row r="112" spans="1:13" ht="30">
      <c r="A112" s="63"/>
      <c r="B112" s="49" t="str">
        <f>'Máy thi công'!B6</f>
        <v>M112.4002_TT11</v>
      </c>
      <c r="C112" s="100">
        <v>74</v>
      </c>
      <c r="D112" s="49" t="str">
        <f>" - "&amp;'Máy thi công'!D6</f>
        <v> - Biến thế hàn xoay chiều - công suất: 23 kW</v>
      </c>
      <c r="E112" s="69" t="str">
        <f>'Máy thi công'!E6</f>
        <v>ca</v>
      </c>
      <c r="F112" s="19"/>
      <c r="G112" s="19"/>
      <c r="H112" s="19"/>
      <c r="I112" s="19">
        <v>3.7</v>
      </c>
      <c r="J112" s="100">
        <v>1</v>
      </c>
      <c r="K112" s="19"/>
      <c r="L112" s="19"/>
      <c r="M112" s="19">
        <f>ROUND(F100*I112*J112,4)</f>
        <v>0.8255</v>
      </c>
    </row>
    <row r="113" spans="1:13" ht="15">
      <c r="A113" s="63"/>
      <c r="B113" s="49" t="str">
        <f>'Máy thi công'!B37</f>
        <v>M112.1502</v>
      </c>
      <c r="C113" s="100">
        <v>72</v>
      </c>
      <c r="D113" s="49" t="str">
        <f>" - "&amp;'Máy thi công'!D37</f>
        <v> - Máy khoan đứng - công suất: 4,5 kW</v>
      </c>
      <c r="E113" s="69" t="str">
        <f>'Máy thi công'!E37</f>
        <v>ca</v>
      </c>
      <c r="F113" s="19"/>
      <c r="G113" s="19"/>
      <c r="H113" s="19"/>
      <c r="I113" s="19">
        <v>2.739</v>
      </c>
      <c r="J113" s="100">
        <v>1</v>
      </c>
      <c r="K113" s="19"/>
      <c r="L113" s="19"/>
      <c r="M113" s="19">
        <f>ROUND(F100*I113*J113,4)</f>
        <v>0.6111</v>
      </c>
    </row>
    <row r="114" spans="1:13" ht="15">
      <c r="A114" s="63"/>
      <c r="B114" s="49" t="str">
        <f>'Máy thi công'!B53</f>
        <v>M0111</v>
      </c>
      <c r="C114" s="100">
        <v>59</v>
      </c>
      <c r="D114" s="49" t="str">
        <f>" - "&amp;'Máy thi công'!D53</f>
        <v> - Máy khác</v>
      </c>
      <c r="E114" s="69" t="str">
        <f>'Máy thi công'!E53</f>
        <v>%</v>
      </c>
      <c r="F114" s="19"/>
      <c r="G114" s="19"/>
      <c r="H114" s="19"/>
      <c r="I114" s="19">
        <v>1</v>
      </c>
      <c r="J114" s="100"/>
      <c r="K114" s="19"/>
      <c r="L114" s="19"/>
      <c r="M114" s="19"/>
    </row>
    <row r="115" spans="1:13" ht="15">
      <c r="A115" s="110">
        <f>'Công trình'!A27</f>
        <v>11</v>
      </c>
      <c r="B115" s="119" t="str">
        <f>'Công trình'!C27</f>
        <v>AI.61121</v>
      </c>
      <c r="C115" s="12"/>
      <c r="D115" s="119" t="str">
        <f>'Công trình'!D27</f>
        <v>Lắp vì kèo thép khẩu độ ≤18m</v>
      </c>
      <c r="E115" s="18" t="str">
        <f>'Công trình'!E27</f>
        <v>tấn</v>
      </c>
      <c r="F115" s="97">
        <f>'Công trình'!L27</f>
        <v>0.2231</v>
      </c>
      <c r="G115" s="62"/>
      <c r="H115" s="62"/>
      <c r="I115" s="62"/>
      <c r="J115" s="12"/>
      <c r="K115" s="62"/>
      <c r="L115" s="62"/>
      <c r="M115" s="62"/>
    </row>
    <row r="116" spans="1:13" ht="15">
      <c r="A116" s="60"/>
      <c r="B116" s="39"/>
      <c r="C116" s="89"/>
      <c r="D116" s="39" t="s">
        <v>81</v>
      </c>
      <c r="E116" s="66"/>
      <c r="F116" s="14"/>
      <c r="G116" s="14"/>
      <c r="H116" s="14"/>
      <c r="I116" s="14"/>
      <c r="J116" s="89"/>
      <c r="K116" s="14"/>
      <c r="L116" s="14"/>
      <c r="M116" s="14"/>
    </row>
    <row r="117" spans="1:13" ht="15">
      <c r="A117" s="63"/>
      <c r="B117" s="49" t="str">
        <f>'Vật liệu'!B69</f>
        <v>V00641</v>
      </c>
      <c r="C117" s="100">
        <v>14</v>
      </c>
      <c r="D117" s="49" t="str">
        <f>" - "&amp;'Vật liệu'!E69</f>
        <v> - Thép hình</v>
      </c>
      <c r="E117" s="69" t="str">
        <f>'Vật liệu'!F69</f>
        <v>kg</v>
      </c>
      <c r="F117" s="19"/>
      <c r="G117" s="19">
        <v>1</v>
      </c>
      <c r="H117" s="19"/>
      <c r="I117" s="19"/>
      <c r="J117" s="100">
        <v>1</v>
      </c>
      <c r="K117" s="19">
        <f>ROUND(F115*G117*J117,4)</f>
        <v>0.2231</v>
      </c>
      <c r="L117" s="19"/>
      <c r="M117" s="19"/>
    </row>
    <row r="118" spans="1:13" ht="15">
      <c r="A118" s="63"/>
      <c r="B118" s="49" t="str">
        <f>'Vật liệu'!B37</f>
        <v>V00387</v>
      </c>
      <c r="C118" s="100">
        <v>9</v>
      </c>
      <c r="D118" s="49" t="str">
        <f>" - "&amp;'Vật liệu'!E37</f>
        <v> - Gỗ chèn</v>
      </c>
      <c r="E118" s="69" t="str">
        <f>'Vật liệu'!F37</f>
        <v>m3</v>
      </c>
      <c r="F118" s="19"/>
      <c r="G118" s="19">
        <v>0.04</v>
      </c>
      <c r="H118" s="19"/>
      <c r="I118" s="19"/>
      <c r="J118" s="100">
        <v>1</v>
      </c>
      <c r="K118" s="19">
        <f>ROUND(F115*G118*J118,4)</f>
        <v>0.0089</v>
      </c>
      <c r="L118" s="19"/>
      <c r="M118" s="19"/>
    </row>
    <row r="119" spans="1:13" ht="15">
      <c r="A119" s="63"/>
      <c r="B119" s="49" t="str">
        <f>'Vật liệu'!B24</f>
        <v>V00226</v>
      </c>
      <c r="C119" s="100">
        <v>8</v>
      </c>
      <c r="D119" s="49" t="str">
        <f>" - "&amp;'Vật liệu'!E24</f>
        <v> - Dây thép</v>
      </c>
      <c r="E119" s="69" t="str">
        <f>'Vật liệu'!F24</f>
        <v>kg</v>
      </c>
      <c r="F119" s="19"/>
      <c r="G119" s="19">
        <v>0.5</v>
      </c>
      <c r="H119" s="19"/>
      <c r="I119" s="19"/>
      <c r="J119" s="100">
        <v>1</v>
      </c>
      <c r="K119" s="19">
        <f>ROUND(F115*G119*J119,4)</f>
        <v>0.1116</v>
      </c>
      <c r="L119" s="19"/>
      <c r="M119" s="19"/>
    </row>
    <row r="120" spans="1:13" ht="15">
      <c r="A120" s="63"/>
      <c r="B120" s="49" t="str">
        <f>'Vật liệu'!B8</f>
        <v>V00010</v>
      </c>
      <c r="C120" s="100">
        <v>6</v>
      </c>
      <c r="D120" s="49" t="str">
        <f>" - "&amp;'Vật liệu'!E8</f>
        <v> - Bu lông</v>
      </c>
      <c r="E120" s="69" t="str">
        <f>'Vật liệu'!F8</f>
        <v>cái</v>
      </c>
      <c r="F120" s="19"/>
      <c r="G120" s="19">
        <v>15</v>
      </c>
      <c r="H120" s="19"/>
      <c r="I120" s="19"/>
      <c r="J120" s="100">
        <v>1</v>
      </c>
      <c r="K120" s="19">
        <f>ROUND(F115*G120*J120,4)</f>
        <v>3.3465</v>
      </c>
      <c r="L120" s="19"/>
      <c r="M120" s="19"/>
    </row>
    <row r="121" spans="1:13" ht="15">
      <c r="A121" s="63"/>
      <c r="B121" s="49" t="str">
        <f>'Vật liệu'!B35</f>
        <v>V42268</v>
      </c>
      <c r="C121" s="100">
        <v>42</v>
      </c>
      <c r="D121" s="49" t="str">
        <f>" - "&amp;'Vật liệu'!E35</f>
        <v> - Đinh tán Fi 22</v>
      </c>
      <c r="E121" s="69" t="str">
        <f>'Vật liệu'!F35</f>
        <v>cái</v>
      </c>
      <c r="F121" s="19"/>
      <c r="G121" s="19">
        <v>10</v>
      </c>
      <c r="H121" s="19"/>
      <c r="I121" s="19"/>
      <c r="J121" s="100">
        <v>1</v>
      </c>
      <c r="K121" s="19">
        <f>ROUND(F115*G121*J121,4)</f>
        <v>2.231</v>
      </c>
      <c r="L121" s="19"/>
      <c r="M121" s="19"/>
    </row>
    <row r="122" spans="1:13" ht="15">
      <c r="A122" s="63"/>
      <c r="B122" s="49" t="str">
        <f>'Vật liệu'!B63</f>
        <v>V00515</v>
      </c>
      <c r="C122" s="100">
        <v>13</v>
      </c>
      <c r="D122" s="49" t="str">
        <f>" - "&amp;'Vật liệu'!E63</f>
        <v> - Que hàn</v>
      </c>
      <c r="E122" s="69" t="str">
        <f>'Vật liệu'!F63</f>
        <v>kg</v>
      </c>
      <c r="F122" s="19"/>
      <c r="G122" s="19">
        <v>5.88</v>
      </c>
      <c r="H122" s="19"/>
      <c r="I122" s="19"/>
      <c r="J122" s="100">
        <v>1</v>
      </c>
      <c r="K122" s="19">
        <f>ROUND(F115*G122*J122,4)</f>
        <v>1.3118</v>
      </c>
      <c r="L122" s="19"/>
      <c r="M122" s="19"/>
    </row>
    <row r="123" spans="1:13" ht="15">
      <c r="A123" s="63"/>
      <c r="B123" s="49" t="str">
        <f>'Vật liệu'!B89</f>
        <v>V00750</v>
      </c>
      <c r="C123" s="100">
        <v>23</v>
      </c>
      <c r="D123" s="49" t="str">
        <f>" - "&amp;'Vật liệu'!E89</f>
        <v> - Vật liệu khác</v>
      </c>
      <c r="E123" s="69" t="str">
        <f>'Vật liệu'!F89</f>
        <v>%</v>
      </c>
      <c r="F123" s="19"/>
      <c r="G123" s="19">
        <v>1</v>
      </c>
      <c r="H123" s="19"/>
      <c r="I123" s="19"/>
      <c r="J123" s="100"/>
      <c r="K123" s="19"/>
      <c r="L123" s="19"/>
      <c r="M123" s="19"/>
    </row>
    <row r="124" spans="1:13" ht="15">
      <c r="A124" s="60"/>
      <c r="B124" s="39"/>
      <c r="C124" s="89"/>
      <c r="D124" s="39" t="s">
        <v>88</v>
      </c>
      <c r="E124" s="66"/>
      <c r="F124" s="14"/>
      <c r="G124" s="14"/>
      <c r="H124" s="14"/>
      <c r="I124" s="14"/>
      <c r="J124" s="89"/>
      <c r="K124" s="14"/>
      <c r="L124" s="14"/>
      <c r="M124" s="14"/>
    </row>
    <row r="125" spans="1:13" ht="15">
      <c r="A125" s="63"/>
      <c r="B125" s="49" t="str">
        <f>'Nhân công'!B27</f>
        <v>N0020</v>
      </c>
      <c r="C125" s="100">
        <v>52</v>
      </c>
      <c r="D125" s="49" t="s">
        <v>351</v>
      </c>
      <c r="E125" s="69" t="str">
        <f>'Nhân công'!H27</f>
        <v>công</v>
      </c>
      <c r="F125" s="19"/>
      <c r="G125" s="19"/>
      <c r="H125" s="19">
        <v>5.2</v>
      </c>
      <c r="I125" s="19"/>
      <c r="J125" s="100">
        <v>1</v>
      </c>
      <c r="K125" s="19"/>
      <c r="L125" s="19">
        <f>ROUND(F115*H125*J125,4)</f>
        <v>1.1601</v>
      </c>
      <c r="M125" s="19"/>
    </row>
    <row r="126" spans="1:13" ht="15">
      <c r="A126" s="60"/>
      <c r="B126" s="39"/>
      <c r="C126" s="89"/>
      <c r="D126" s="39" t="s">
        <v>318</v>
      </c>
      <c r="E126" s="66"/>
      <c r="F126" s="14"/>
      <c r="G126" s="14"/>
      <c r="H126" s="14"/>
      <c r="I126" s="14"/>
      <c r="J126" s="89"/>
      <c r="K126" s="14"/>
      <c r="L126" s="14"/>
      <c r="M126" s="14"/>
    </row>
    <row r="127" spans="1:13" ht="15">
      <c r="A127" s="63"/>
      <c r="B127" s="49" t="str">
        <f>'Máy thi công'!B17</f>
        <v>M102.0106</v>
      </c>
      <c r="C127" s="100">
        <v>62</v>
      </c>
      <c r="D127" s="49" t="str">
        <f>" - "&amp;'Máy thi công'!D17</f>
        <v> - Cần trục ô tô - sức nâng: 16 T</v>
      </c>
      <c r="E127" s="69" t="str">
        <f>'Máy thi công'!E17</f>
        <v>ca</v>
      </c>
      <c r="F127" s="19"/>
      <c r="G127" s="19"/>
      <c r="H127" s="19"/>
      <c r="I127" s="19">
        <v>0.3</v>
      </c>
      <c r="J127" s="100">
        <v>1</v>
      </c>
      <c r="K127" s="19"/>
      <c r="L127" s="19"/>
      <c r="M127" s="19">
        <f>ROUND(F115*I127*J127,4)</f>
        <v>0.0669</v>
      </c>
    </row>
    <row r="128" spans="1:13" ht="30">
      <c r="A128" s="63"/>
      <c r="B128" s="49" t="str">
        <f>'Máy thi công'!B40</f>
        <v>M108.0302_TT11</v>
      </c>
      <c r="C128" s="100">
        <v>69</v>
      </c>
      <c r="D128" s="49" t="str">
        <f>" - "&amp;'Máy thi công'!D40</f>
        <v> - Máy nén khí, động cơ diezel - năng suất: 360 m3/h</v>
      </c>
      <c r="E128" s="69" t="str">
        <f>'Máy thi công'!E40</f>
        <v>ca</v>
      </c>
      <c r="F128" s="19"/>
      <c r="G128" s="19"/>
      <c r="H128" s="19"/>
      <c r="I128" s="19">
        <v>0.1</v>
      </c>
      <c r="J128" s="100">
        <v>1</v>
      </c>
      <c r="K128" s="19"/>
      <c r="L128" s="19"/>
      <c r="M128" s="19">
        <f>ROUND(F115*I128*J128,4)</f>
        <v>0.0223</v>
      </c>
    </row>
    <row r="129" spans="1:13" ht="30">
      <c r="A129" s="63"/>
      <c r="B129" s="49" t="str">
        <f>'Máy thi công'!B6</f>
        <v>M112.4002_TT11</v>
      </c>
      <c r="C129" s="100">
        <v>74</v>
      </c>
      <c r="D129" s="49" t="str">
        <f>" - "&amp;'Máy thi công'!D6</f>
        <v> - Biến thế hàn xoay chiều - công suất: 23 kW</v>
      </c>
      <c r="E129" s="69" t="str">
        <f>'Máy thi công'!E6</f>
        <v>ca</v>
      </c>
      <c r="F129" s="19"/>
      <c r="G129" s="19"/>
      <c r="H129" s="19"/>
      <c r="I129" s="19">
        <v>1.4</v>
      </c>
      <c r="J129" s="100">
        <v>1</v>
      </c>
      <c r="K129" s="19"/>
      <c r="L129" s="19"/>
      <c r="M129" s="19">
        <f>ROUND(F115*I129*J129,4)</f>
        <v>0.3123</v>
      </c>
    </row>
    <row r="130" spans="1:13" ht="15">
      <c r="A130" s="63"/>
      <c r="B130" s="49" t="str">
        <f>'Máy thi công'!B37</f>
        <v>M112.1502</v>
      </c>
      <c r="C130" s="100">
        <v>72</v>
      </c>
      <c r="D130" s="49" t="str">
        <f>" - "&amp;'Máy thi công'!D37</f>
        <v> - Máy khoan đứng - công suất: 4,5 kW</v>
      </c>
      <c r="E130" s="69" t="str">
        <f>'Máy thi công'!E37</f>
        <v>ca</v>
      </c>
      <c r="F130" s="19"/>
      <c r="G130" s="19"/>
      <c r="H130" s="19"/>
      <c r="I130" s="19">
        <v>0.5</v>
      </c>
      <c r="J130" s="100">
        <v>1</v>
      </c>
      <c r="K130" s="19"/>
      <c r="L130" s="19"/>
      <c r="M130" s="19">
        <f>ROUND(F115*I130*J130,4)</f>
        <v>0.1116</v>
      </c>
    </row>
    <row r="131" spans="1:13" ht="15">
      <c r="A131" s="63"/>
      <c r="B131" s="49" t="str">
        <f>'Máy thi công'!B53</f>
        <v>M0111</v>
      </c>
      <c r="C131" s="100">
        <v>60</v>
      </c>
      <c r="D131" s="49" t="str">
        <f>" - "&amp;'Máy thi công'!D53</f>
        <v> - Máy khác</v>
      </c>
      <c r="E131" s="69" t="str">
        <f>'Máy thi công'!E53</f>
        <v>%</v>
      </c>
      <c r="F131" s="19"/>
      <c r="G131" s="19"/>
      <c r="H131" s="19"/>
      <c r="I131" s="19">
        <v>1</v>
      </c>
      <c r="J131" s="100"/>
      <c r="K131" s="19"/>
      <c r="L131" s="19"/>
      <c r="M131" s="19"/>
    </row>
    <row r="132" spans="1:13" ht="28.5">
      <c r="A132" s="110">
        <f>'Công trình'!A29</f>
        <v>12</v>
      </c>
      <c r="B132" s="119" t="str">
        <f>'Công trình'!C29</f>
        <v>AB.11433</v>
      </c>
      <c r="C132" s="12"/>
      <c r="D132" s="119" t="str">
        <f>'Công trình'!D29</f>
        <v>Đào móng cột, trụ, hố kiểm tra bằng thủ công, rộng &gt;1m, sâu ≤1m - Cấp đất III</v>
      </c>
      <c r="E132" s="18" t="str">
        <f>'Công trình'!E29</f>
        <v>1m3</v>
      </c>
      <c r="F132" s="97">
        <f>'Công trình'!L29</f>
        <v>2.31</v>
      </c>
      <c r="G132" s="62"/>
      <c r="H132" s="62"/>
      <c r="I132" s="62"/>
      <c r="J132" s="12"/>
      <c r="K132" s="62"/>
      <c r="L132" s="62"/>
      <c r="M132" s="62"/>
    </row>
    <row r="133" spans="1:13" ht="15">
      <c r="A133" s="60"/>
      <c r="B133" s="39"/>
      <c r="C133" s="89"/>
      <c r="D133" s="39" t="s">
        <v>88</v>
      </c>
      <c r="E133" s="66"/>
      <c r="F133" s="14"/>
      <c r="G133" s="14"/>
      <c r="H133" s="14"/>
      <c r="I133" s="14"/>
      <c r="J133" s="89"/>
      <c r="K133" s="14"/>
      <c r="L133" s="14"/>
      <c r="M133" s="14"/>
    </row>
    <row r="134" spans="1:13" ht="15">
      <c r="A134" s="63"/>
      <c r="B134" s="49" t="str">
        <f>'Nhân công'!B6</f>
        <v>N0006</v>
      </c>
      <c r="C134" s="100">
        <v>50</v>
      </c>
      <c r="D134" s="49" t="s">
        <v>546</v>
      </c>
      <c r="E134" s="69" t="str">
        <f>'Nhân công'!H6</f>
        <v>công</v>
      </c>
      <c r="F134" s="19"/>
      <c r="G134" s="19"/>
      <c r="H134" s="19">
        <v>1.25</v>
      </c>
      <c r="I134" s="19"/>
      <c r="J134" s="100">
        <v>1</v>
      </c>
      <c r="K134" s="19"/>
      <c r="L134" s="19">
        <f>ROUND(F132*H134*J134,4)</f>
        <v>2.8875</v>
      </c>
      <c r="M134" s="19"/>
    </row>
    <row r="135" spans="1:13" ht="28.5">
      <c r="A135" s="110">
        <f>'Công trình'!A31</f>
        <v>13</v>
      </c>
      <c r="B135" s="119" t="str">
        <f>'Công trình'!C31</f>
        <v>AF.11110</v>
      </c>
      <c r="C135" s="12"/>
      <c r="D135" s="119" t="str">
        <f>'Công trình'!D31</f>
        <v>Bê tông lót móng SX bằng máy trộn, đổ bằng thủ công, rộng ≤250cm, M100, đá 4x6, PCB30</v>
      </c>
      <c r="E135" s="18" t="str">
        <f>'Công trình'!E31</f>
        <v>m3</v>
      </c>
      <c r="F135" s="97">
        <f>'Công trình'!L31</f>
        <v>0.4463</v>
      </c>
      <c r="G135" s="62"/>
      <c r="H135" s="62"/>
      <c r="I135" s="62"/>
      <c r="J135" s="12"/>
      <c r="K135" s="62"/>
      <c r="L135" s="62"/>
      <c r="M135" s="62"/>
    </row>
    <row r="136" spans="1:13" ht="15">
      <c r="A136" s="60"/>
      <c r="B136" s="39"/>
      <c r="C136" s="89"/>
      <c r="D136" s="39" t="s">
        <v>81</v>
      </c>
      <c r="E136" s="66"/>
      <c r="F136" s="14"/>
      <c r="G136" s="14"/>
      <c r="H136" s="14"/>
      <c r="I136" s="14"/>
      <c r="J136" s="89"/>
      <c r="K136" s="14"/>
      <c r="L136" s="14"/>
      <c r="M136" s="14"/>
    </row>
    <row r="137" spans="1:13" ht="15">
      <c r="A137" s="63"/>
      <c r="B137" s="49" t="str">
        <f>'Vật liệu'!B10</f>
        <v>V00112</v>
      </c>
      <c r="C137" s="100">
        <v>7</v>
      </c>
      <c r="D137" s="49" t="str">
        <f>" - "&amp;'Vật liệu'!E10</f>
        <v> - Cát vàng</v>
      </c>
      <c r="E137" s="69" t="str">
        <f>'Vật liệu'!F10</f>
        <v>m3</v>
      </c>
      <c r="F137" s="19"/>
      <c r="G137" s="19">
        <v>0.573</v>
      </c>
      <c r="H137" s="19"/>
      <c r="I137" s="19"/>
      <c r="J137" s="100">
        <v>1</v>
      </c>
      <c r="K137" s="19">
        <f>ROUND(F135*G137*J137,4)</f>
        <v>0.2557</v>
      </c>
      <c r="L137" s="19"/>
      <c r="M137" s="19"/>
    </row>
    <row r="138" spans="1:13" ht="15">
      <c r="A138" s="63"/>
      <c r="B138" s="49" t="str">
        <f>'Vật liệu'!B18</f>
        <v>V05209</v>
      </c>
      <c r="C138" s="100">
        <v>36</v>
      </c>
      <c r="D138" s="49" t="str">
        <f>" - "&amp;'Vật liệu'!E18</f>
        <v> - Đá 4x6</v>
      </c>
      <c r="E138" s="69" t="str">
        <f>'Vật liệu'!F18</f>
        <v>m3</v>
      </c>
      <c r="F138" s="19"/>
      <c r="G138" s="19">
        <v>0.9287</v>
      </c>
      <c r="H138" s="19"/>
      <c r="I138" s="19"/>
      <c r="J138" s="100">
        <v>1</v>
      </c>
      <c r="K138" s="19">
        <f>ROUND(F135*G138*J138,4)</f>
        <v>0.4145</v>
      </c>
      <c r="L138" s="19"/>
      <c r="M138" s="19"/>
    </row>
    <row r="139" spans="1:13" ht="15">
      <c r="A139" s="63"/>
      <c r="B139" s="49" t="str">
        <f>'Vật liệu'!B53</f>
        <v>V00494</v>
      </c>
      <c r="C139" s="100">
        <v>12</v>
      </c>
      <c r="D139" s="49" t="str">
        <f>" - "&amp;'Vật liệu'!E53</f>
        <v> - Nước</v>
      </c>
      <c r="E139" s="69" t="str">
        <f>'Vật liệu'!F53</f>
        <v>lít</v>
      </c>
      <c r="F139" s="19"/>
      <c r="G139" s="19">
        <v>166.05</v>
      </c>
      <c r="H139" s="19"/>
      <c r="I139" s="19"/>
      <c r="J139" s="100">
        <v>1</v>
      </c>
      <c r="K139" s="19">
        <f>ROUND(F135*G139*J139,4)</f>
        <v>74.1081</v>
      </c>
      <c r="L139" s="19"/>
      <c r="M139" s="19"/>
    </row>
    <row r="140" spans="1:13" ht="15">
      <c r="A140" s="63"/>
      <c r="B140" s="49" t="str">
        <f>'Vật liệu'!B82</f>
        <v>V02470</v>
      </c>
      <c r="C140" s="100">
        <v>34</v>
      </c>
      <c r="D140" s="49" t="str">
        <f>" - "&amp;'Vật liệu'!E82</f>
        <v> - Xi măng PCB30</v>
      </c>
      <c r="E140" s="69" t="str">
        <f>'Vật liệu'!F82</f>
        <v>kg</v>
      </c>
      <c r="F140" s="19"/>
      <c r="G140" s="19">
        <v>197.825</v>
      </c>
      <c r="H140" s="19"/>
      <c r="I140" s="19"/>
      <c r="J140" s="100">
        <v>1</v>
      </c>
      <c r="K140" s="19">
        <f>ROUND(F135*G140*J140,4)</f>
        <v>88.2893</v>
      </c>
      <c r="L140" s="19"/>
      <c r="M140" s="19"/>
    </row>
    <row r="141" spans="1:13" ht="15">
      <c r="A141" s="60"/>
      <c r="B141" s="39"/>
      <c r="C141" s="89"/>
      <c r="D141" s="39" t="s">
        <v>88</v>
      </c>
      <c r="E141" s="66"/>
      <c r="F141" s="14"/>
      <c r="G141" s="14"/>
      <c r="H141" s="14"/>
      <c r="I141" s="14"/>
      <c r="J141" s="89"/>
      <c r="K141" s="14"/>
      <c r="L141" s="14"/>
      <c r="M141" s="14"/>
    </row>
    <row r="142" spans="1:13" ht="15">
      <c r="A142" s="63"/>
      <c r="B142" s="49" t="str">
        <f>'Nhân công'!B9</f>
        <v>N0028</v>
      </c>
      <c r="C142" s="100">
        <v>53</v>
      </c>
      <c r="D142" s="49" t="s">
        <v>538</v>
      </c>
      <c r="E142" s="69" t="str">
        <f>'Nhân công'!H9</f>
        <v>công</v>
      </c>
      <c r="F142" s="19"/>
      <c r="G142" s="19"/>
      <c r="H142" s="19">
        <v>1.07</v>
      </c>
      <c r="I142" s="19"/>
      <c r="J142" s="100">
        <v>1</v>
      </c>
      <c r="K142" s="19"/>
      <c r="L142" s="19">
        <f>ROUND(F135*H142*J142,4)</f>
        <v>0.4775</v>
      </c>
      <c r="M142" s="19"/>
    </row>
    <row r="143" spans="1:13" ht="15">
      <c r="A143" s="60"/>
      <c r="B143" s="39"/>
      <c r="C143" s="89"/>
      <c r="D143" s="39" t="s">
        <v>318</v>
      </c>
      <c r="E143" s="66"/>
      <c r="F143" s="14"/>
      <c r="G143" s="14"/>
      <c r="H143" s="14"/>
      <c r="I143" s="14"/>
      <c r="J143" s="89"/>
      <c r="K143" s="14"/>
      <c r="L143" s="14"/>
      <c r="M143" s="14"/>
    </row>
    <row r="144" spans="1:13" ht="15">
      <c r="A144" s="63"/>
      <c r="B144" s="49" t="str">
        <f>'Máy thi công'!B42</f>
        <v>M104.0101</v>
      </c>
      <c r="C144" s="100">
        <v>68</v>
      </c>
      <c r="D144" s="49" t="str">
        <f>" - "&amp;'Máy thi công'!D42</f>
        <v> - Máy trộn bê tông - dung tích: 250 lít</v>
      </c>
      <c r="E144" s="69" t="str">
        <f>'Máy thi công'!E42</f>
        <v>ca</v>
      </c>
      <c r="F144" s="19"/>
      <c r="G144" s="19"/>
      <c r="H144" s="19"/>
      <c r="I144" s="19">
        <v>0.095</v>
      </c>
      <c r="J144" s="100">
        <v>1</v>
      </c>
      <c r="K144" s="19"/>
      <c r="L144" s="19"/>
      <c r="M144" s="19">
        <f>ROUND(F135*I144*J144,4)</f>
        <v>0.0424</v>
      </c>
    </row>
    <row r="145" spans="1:13" ht="15">
      <c r="A145" s="63"/>
      <c r="B145" s="49" t="str">
        <f>'Máy thi công'!B28</f>
        <v>M112.1101</v>
      </c>
      <c r="C145" s="100">
        <v>70</v>
      </c>
      <c r="D145" s="49" t="str">
        <f>" - "&amp;'Máy thi công'!D28</f>
        <v> - Máy đầm bê tông, đầm bàn - công suất: 1,0 kW</v>
      </c>
      <c r="E145" s="69" t="str">
        <f>'Máy thi công'!E28</f>
        <v>ca</v>
      </c>
      <c r="F145" s="19"/>
      <c r="G145" s="19"/>
      <c r="H145" s="19"/>
      <c r="I145" s="19">
        <v>0.089</v>
      </c>
      <c r="J145" s="100">
        <v>1</v>
      </c>
      <c r="K145" s="19"/>
      <c r="L145" s="19"/>
      <c r="M145" s="19">
        <f>ROUND(F135*I145*J145,4)</f>
        <v>0.0397</v>
      </c>
    </row>
    <row r="146" spans="1:13" ht="15">
      <c r="A146" s="110">
        <f>'Công trình'!A33</f>
        <v>14</v>
      </c>
      <c r="B146" s="119" t="str">
        <f>'Công trình'!C33</f>
        <v>AF.81122</v>
      </c>
      <c r="C146" s="12"/>
      <c r="D146" s="119" t="str">
        <f>'Công trình'!D33</f>
        <v>Ván khuôn móng cột - Móng vuông, chữ nhật</v>
      </c>
      <c r="E146" s="18" t="str">
        <f>'Công trình'!E33</f>
        <v>100m2</v>
      </c>
      <c r="F146" s="97">
        <f>'Công trình'!L33</f>
        <v>0.037</v>
      </c>
      <c r="G146" s="62"/>
      <c r="H146" s="62"/>
      <c r="I146" s="62"/>
      <c r="J146" s="12"/>
      <c r="K146" s="62"/>
      <c r="L146" s="62"/>
      <c r="M146" s="62"/>
    </row>
    <row r="147" spans="1:13" ht="15">
      <c r="A147" s="60"/>
      <c r="B147" s="39"/>
      <c r="C147" s="89"/>
      <c r="D147" s="39" t="s">
        <v>81</v>
      </c>
      <c r="E147" s="66"/>
      <c r="F147" s="14"/>
      <c r="G147" s="14"/>
      <c r="H147" s="14"/>
      <c r="I147" s="14"/>
      <c r="J147" s="89"/>
      <c r="K147" s="14"/>
      <c r="L147" s="14"/>
      <c r="M147" s="14"/>
    </row>
    <row r="148" spans="1:13" ht="15">
      <c r="A148" s="63"/>
      <c r="B148" s="49" t="str">
        <f>'Vật liệu'!B31</f>
        <v>V00772</v>
      </c>
      <c r="C148" s="100">
        <v>30</v>
      </c>
      <c r="D148" s="49" t="str">
        <f>" - "&amp;'Vật liệu'!E31</f>
        <v> - Đinh</v>
      </c>
      <c r="E148" s="69" t="str">
        <f>'Vật liệu'!F31</f>
        <v>kg</v>
      </c>
      <c r="F148" s="19"/>
      <c r="G148" s="19">
        <v>15</v>
      </c>
      <c r="H148" s="19"/>
      <c r="I148" s="19"/>
      <c r="J148" s="100">
        <v>1</v>
      </c>
      <c r="K148" s="19">
        <f>ROUND(F146*G148*J148,4)</f>
        <v>0.555</v>
      </c>
      <c r="L148" s="19"/>
      <c r="M148" s="19"/>
    </row>
    <row r="149" spans="1:13" ht="15">
      <c r="A149" s="63"/>
      <c r="B149" s="49" t="str">
        <f>'Vật liệu'!B39</f>
        <v>V00390</v>
      </c>
      <c r="C149" s="100">
        <v>10</v>
      </c>
      <c r="D149" s="49" t="str">
        <f>" - "&amp;'Vật liệu'!E39</f>
        <v> - Gỗ chống</v>
      </c>
      <c r="E149" s="69" t="str">
        <f>'Vật liệu'!F39</f>
        <v>m3</v>
      </c>
      <c r="F149" s="19"/>
      <c r="G149" s="19">
        <v>0.335</v>
      </c>
      <c r="H149" s="19"/>
      <c r="I149" s="19"/>
      <c r="J149" s="100">
        <v>1</v>
      </c>
      <c r="K149" s="19">
        <f>ROUND(F146*G149*J149,4)</f>
        <v>0.0124</v>
      </c>
      <c r="L149" s="19"/>
      <c r="M149" s="19"/>
    </row>
    <row r="150" spans="1:13" ht="15">
      <c r="A150" s="63"/>
      <c r="B150" s="49" t="str">
        <f>'Vật liệu'!B47</f>
        <v>V00402</v>
      </c>
      <c r="C150" s="100">
        <v>11</v>
      </c>
      <c r="D150" s="49" t="str">
        <f>" - "&amp;'Vật liệu'!E47</f>
        <v> - Gỗ ván</v>
      </c>
      <c r="E150" s="69" t="str">
        <f>'Vật liệu'!F47</f>
        <v>m3</v>
      </c>
      <c r="F150" s="19"/>
      <c r="G150" s="19">
        <v>0.794</v>
      </c>
      <c r="H150" s="19"/>
      <c r="I150" s="19"/>
      <c r="J150" s="100">
        <v>1</v>
      </c>
      <c r="K150" s="19">
        <f>ROUND(F146*G150*J150,4)</f>
        <v>0.0294</v>
      </c>
      <c r="L150" s="19"/>
      <c r="M150" s="19"/>
    </row>
    <row r="151" spans="1:13" ht="15">
      <c r="A151" s="63"/>
      <c r="B151" s="49" t="str">
        <f>'Vật liệu'!B43</f>
        <v>V05605</v>
      </c>
      <c r="C151" s="100">
        <v>37</v>
      </c>
      <c r="D151" s="49" t="str">
        <f>" - "&amp;'Vật liệu'!E43</f>
        <v> - Gỗ đà nẹp</v>
      </c>
      <c r="E151" s="69" t="str">
        <f>'Vật liệu'!F43</f>
        <v>m3</v>
      </c>
      <c r="F151" s="19"/>
      <c r="G151" s="19">
        <v>0.21</v>
      </c>
      <c r="H151" s="19"/>
      <c r="I151" s="19"/>
      <c r="J151" s="100">
        <v>1</v>
      </c>
      <c r="K151" s="19">
        <f>ROUND(F146*G151*J151,4)</f>
        <v>0.0078</v>
      </c>
      <c r="L151" s="19"/>
      <c r="M151" s="19"/>
    </row>
    <row r="152" spans="1:13" ht="15">
      <c r="A152" s="63"/>
      <c r="B152" s="49" t="str">
        <f>'Vật liệu'!B89</f>
        <v>V00750</v>
      </c>
      <c r="C152" s="100">
        <v>24</v>
      </c>
      <c r="D152" s="49" t="str">
        <f>" - "&amp;'Vật liệu'!E89</f>
        <v> - Vật liệu khác</v>
      </c>
      <c r="E152" s="69" t="str">
        <f>'Vật liệu'!F89</f>
        <v>%</v>
      </c>
      <c r="F152" s="19"/>
      <c r="G152" s="19">
        <v>1</v>
      </c>
      <c r="H152" s="19"/>
      <c r="I152" s="19"/>
      <c r="J152" s="100"/>
      <c r="K152" s="19"/>
      <c r="L152" s="19"/>
      <c r="M152" s="19"/>
    </row>
    <row r="153" spans="1:13" ht="15">
      <c r="A153" s="60"/>
      <c r="B153" s="39"/>
      <c r="C153" s="89"/>
      <c r="D153" s="39" t="s">
        <v>88</v>
      </c>
      <c r="E153" s="66"/>
      <c r="F153" s="14"/>
      <c r="G153" s="14"/>
      <c r="H153" s="14"/>
      <c r="I153" s="14"/>
      <c r="J153" s="89"/>
      <c r="K153" s="14"/>
      <c r="L153" s="14"/>
      <c r="M153" s="14"/>
    </row>
    <row r="154" spans="1:13" ht="15">
      <c r="A154" s="63"/>
      <c r="B154" s="49" t="str">
        <f>'Nhân công'!B12</f>
        <v>N0015</v>
      </c>
      <c r="C154" s="100">
        <v>51</v>
      </c>
      <c r="D154" s="49" t="s">
        <v>288</v>
      </c>
      <c r="E154" s="69" t="str">
        <f>'Nhân công'!H12</f>
        <v>công</v>
      </c>
      <c r="F154" s="19"/>
      <c r="G154" s="19"/>
      <c r="H154" s="19">
        <v>29.7</v>
      </c>
      <c r="I154" s="19"/>
      <c r="J154" s="100">
        <v>1</v>
      </c>
      <c r="K154" s="19"/>
      <c r="L154" s="19">
        <f>ROUND(F146*H154*J154,4)</f>
        <v>1.0989</v>
      </c>
      <c r="M154" s="19"/>
    </row>
    <row r="155" spans="1:13" ht="42.75">
      <c r="A155" s="110">
        <f>'Công trình'!A35</f>
        <v>15</v>
      </c>
      <c r="B155" s="119" t="str">
        <f>'Công trình'!C35</f>
        <v>AF.14132</v>
      </c>
      <c r="C155" s="12"/>
      <c r="D155" s="119" t="str">
        <f>'Công trình'!D35</f>
        <v>Bê tông móng, mố, trụ trên cạn SX bằng máy trộn, đổ bằng thủ công, bê tông M200, đá 2x4, PCB40</v>
      </c>
      <c r="E155" s="18" t="str">
        <f>'Công trình'!E35</f>
        <v>m3</v>
      </c>
      <c r="F155" s="97">
        <f>'Công trình'!L35</f>
        <v>2.7994</v>
      </c>
      <c r="G155" s="62"/>
      <c r="H155" s="62"/>
      <c r="I155" s="62"/>
      <c r="J155" s="12"/>
      <c r="K155" s="62"/>
      <c r="L155" s="62"/>
      <c r="M155" s="62"/>
    </row>
    <row r="156" spans="1:13" ht="15">
      <c r="A156" s="60"/>
      <c r="B156" s="39"/>
      <c r="C156" s="89"/>
      <c r="D156" s="39" t="s">
        <v>81</v>
      </c>
      <c r="E156" s="66"/>
      <c r="F156" s="14"/>
      <c r="G156" s="14"/>
      <c r="H156" s="14"/>
      <c r="I156" s="14"/>
      <c r="J156" s="89"/>
      <c r="K156" s="14"/>
      <c r="L156" s="14"/>
      <c r="M156" s="14"/>
    </row>
    <row r="157" spans="1:13" ht="15">
      <c r="A157" s="63"/>
      <c r="B157" s="49" t="str">
        <f>'Vật liệu'!B85</f>
        <v>V08770</v>
      </c>
      <c r="C157" s="100">
        <v>40</v>
      </c>
      <c r="D157" s="49" t="str">
        <f>" - "&amp;'Vật liệu'!E85</f>
        <v> - Xi măng PCB40</v>
      </c>
      <c r="E157" s="69" t="str">
        <f>'Vật liệu'!F85</f>
        <v>kg</v>
      </c>
      <c r="F157" s="19"/>
      <c r="G157" s="19">
        <v>250.1</v>
      </c>
      <c r="H157" s="19"/>
      <c r="I157" s="19"/>
      <c r="J157" s="100">
        <v>1</v>
      </c>
      <c r="K157" s="19">
        <f>ROUND(F155*G157*J157,4)</f>
        <v>700.1299</v>
      </c>
      <c r="L157" s="19"/>
      <c r="M157" s="19"/>
    </row>
    <row r="158" spans="1:13" ht="15">
      <c r="A158" s="63"/>
      <c r="B158" s="49" t="str">
        <f>'Vật liệu'!B10</f>
        <v>V00112</v>
      </c>
      <c r="C158" s="100">
        <v>7</v>
      </c>
      <c r="D158" s="49" t="str">
        <f>" - "&amp;'Vật liệu'!E10</f>
        <v> - Cát vàng</v>
      </c>
      <c r="E158" s="69" t="str">
        <f>'Vật liệu'!F10</f>
        <v>m3</v>
      </c>
      <c r="F158" s="19"/>
      <c r="G158" s="19">
        <v>0.5535</v>
      </c>
      <c r="H158" s="19"/>
      <c r="I158" s="19"/>
      <c r="J158" s="100">
        <v>1</v>
      </c>
      <c r="K158" s="19">
        <f>ROUND(F155*G158*J158,4)</f>
        <v>1.5495</v>
      </c>
      <c r="L158" s="19"/>
      <c r="M158" s="19"/>
    </row>
    <row r="159" spans="1:13" ht="15">
      <c r="A159" s="63"/>
      <c r="B159" s="49" t="str">
        <f>'Vật liệu'!B16</f>
        <v>V05208</v>
      </c>
      <c r="C159" s="100">
        <v>35</v>
      </c>
      <c r="D159" s="49" t="str">
        <f>" - "&amp;'Vật liệu'!E16</f>
        <v> - Đá 2x4</v>
      </c>
      <c r="E159" s="69" t="str">
        <f>'Vật liệu'!F16</f>
        <v>m3</v>
      </c>
      <c r="F159" s="19"/>
      <c r="G159" s="19">
        <v>0.8979</v>
      </c>
      <c r="H159" s="19"/>
      <c r="I159" s="19"/>
      <c r="J159" s="100">
        <v>1</v>
      </c>
      <c r="K159" s="19">
        <f>ROUND(F155*G159*J159,4)</f>
        <v>2.5136</v>
      </c>
      <c r="L159" s="19"/>
      <c r="M159" s="19"/>
    </row>
    <row r="160" spans="1:13" ht="15">
      <c r="A160" s="63"/>
      <c r="B160" s="49" t="str">
        <f>'Vật liệu'!B53</f>
        <v>V00494</v>
      </c>
      <c r="C160" s="100">
        <v>12</v>
      </c>
      <c r="D160" s="49" t="str">
        <f>" - "&amp;'Vật liệu'!E53</f>
        <v> - Nước</v>
      </c>
      <c r="E160" s="69" t="str">
        <f>'Vật liệu'!F53</f>
        <v>lít</v>
      </c>
      <c r="F160" s="19"/>
      <c r="G160" s="19">
        <v>177.325</v>
      </c>
      <c r="H160" s="19"/>
      <c r="I160" s="19"/>
      <c r="J160" s="100">
        <v>1</v>
      </c>
      <c r="K160" s="19">
        <f>ROUND(F155*G160*J160,4)</f>
        <v>496.4036</v>
      </c>
      <c r="L160" s="19"/>
      <c r="M160" s="19"/>
    </row>
    <row r="161" spans="1:13" ht="15">
      <c r="A161" s="63"/>
      <c r="B161" s="49" t="str">
        <f>'Vật liệu'!B89</f>
        <v>V00750</v>
      </c>
      <c r="C161" s="100">
        <v>25</v>
      </c>
      <c r="D161" s="49" t="str">
        <f>" - "&amp;'Vật liệu'!E89</f>
        <v> - Vật liệu khác</v>
      </c>
      <c r="E161" s="69" t="str">
        <f>'Vật liệu'!F89</f>
        <v>%</v>
      </c>
      <c r="F161" s="19"/>
      <c r="G161" s="19">
        <v>2</v>
      </c>
      <c r="H161" s="19"/>
      <c r="I161" s="19"/>
      <c r="J161" s="100"/>
      <c r="K161" s="19"/>
      <c r="L161" s="19"/>
      <c r="M161" s="19"/>
    </row>
    <row r="162" spans="1:13" ht="15">
      <c r="A162" s="60"/>
      <c r="B162" s="39"/>
      <c r="C162" s="89"/>
      <c r="D162" s="39" t="s">
        <v>88</v>
      </c>
      <c r="E162" s="66"/>
      <c r="F162" s="14"/>
      <c r="G162" s="14"/>
      <c r="H162" s="14"/>
      <c r="I162" s="14"/>
      <c r="J162" s="89"/>
      <c r="K162" s="14"/>
      <c r="L162" s="14"/>
      <c r="M162" s="14"/>
    </row>
    <row r="163" spans="1:13" ht="15">
      <c r="A163" s="63"/>
      <c r="B163" s="49" t="str">
        <f>'Nhân công'!B24</f>
        <v>N82940</v>
      </c>
      <c r="C163" s="100">
        <v>55</v>
      </c>
      <c r="D163" s="49" t="s">
        <v>230</v>
      </c>
      <c r="E163" s="69" t="str">
        <f>'Nhân công'!H24</f>
        <v>công</v>
      </c>
      <c r="F163" s="19"/>
      <c r="G163" s="19"/>
      <c r="H163" s="19">
        <v>2.04</v>
      </c>
      <c r="I163" s="19"/>
      <c r="J163" s="100">
        <v>1</v>
      </c>
      <c r="K163" s="19"/>
      <c r="L163" s="19">
        <f>ROUND(F155*H163*J163,4)</f>
        <v>5.7108</v>
      </c>
      <c r="M163" s="19"/>
    </row>
    <row r="164" spans="1:13" ht="15">
      <c r="A164" s="60"/>
      <c r="B164" s="39"/>
      <c r="C164" s="89"/>
      <c r="D164" s="39" t="s">
        <v>318</v>
      </c>
      <c r="E164" s="66"/>
      <c r="F164" s="14"/>
      <c r="G164" s="14"/>
      <c r="H164" s="14"/>
      <c r="I164" s="14"/>
      <c r="J164" s="89"/>
      <c r="K164" s="14"/>
      <c r="L164" s="14"/>
      <c r="M164" s="14"/>
    </row>
    <row r="165" spans="1:13" ht="30">
      <c r="A165" s="63"/>
      <c r="B165" s="49" t="str">
        <f>'Máy thi công'!B12</f>
        <v>M102.0202_TT11</v>
      </c>
      <c r="C165" s="100">
        <v>63</v>
      </c>
      <c r="D165" s="49" t="str">
        <f>" - "&amp;'Máy thi công'!D12</f>
        <v> - Cần cẩu bánh hơi - sức nâng: 16 T</v>
      </c>
      <c r="E165" s="69" t="str">
        <f>'Máy thi công'!E12</f>
        <v>ca</v>
      </c>
      <c r="F165" s="19"/>
      <c r="G165" s="19"/>
      <c r="H165" s="19"/>
      <c r="I165" s="19">
        <v>0.045</v>
      </c>
      <c r="J165" s="100">
        <v>1</v>
      </c>
      <c r="K165" s="19"/>
      <c r="L165" s="19"/>
      <c r="M165" s="19">
        <f>ROUND(F155*I165*J165,4)</f>
        <v>0.126</v>
      </c>
    </row>
    <row r="166" spans="1:13" ht="15">
      <c r="A166" s="63"/>
      <c r="B166" s="49" t="str">
        <f>'Máy thi công'!B42</f>
        <v>M104.0101</v>
      </c>
      <c r="C166" s="100">
        <v>68</v>
      </c>
      <c r="D166" s="49" t="str">
        <f>" - "&amp;'Máy thi công'!D42</f>
        <v> - Máy trộn bê tông - dung tích: 250 lít</v>
      </c>
      <c r="E166" s="69" t="str">
        <f>'Máy thi công'!E42</f>
        <v>ca</v>
      </c>
      <c r="F166" s="19"/>
      <c r="G166" s="19"/>
      <c r="H166" s="19"/>
      <c r="I166" s="19">
        <v>0.095</v>
      </c>
      <c r="J166" s="100">
        <v>1</v>
      </c>
      <c r="K166" s="19"/>
      <c r="L166" s="19"/>
      <c r="M166" s="19">
        <f>ROUND(F155*I166*J166,4)</f>
        <v>0.2659</v>
      </c>
    </row>
    <row r="167" spans="1:13" ht="30">
      <c r="A167" s="63"/>
      <c r="B167" s="49" t="str">
        <f>'Máy thi công'!B31</f>
        <v>M112.1301_TT11</v>
      </c>
      <c r="C167" s="100">
        <v>71</v>
      </c>
      <c r="D167" s="49" t="str">
        <f>" - "&amp;'Máy thi công'!D31</f>
        <v> - Máy đầm bê tông, đầm dùi - công suất: 1,5 kW</v>
      </c>
      <c r="E167" s="69" t="str">
        <f>'Máy thi công'!E31</f>
        <v>ca</v>
      </c>
      <c r="F167" s="19"/>
      <c r="G167" s="19"/>
      <c r="H167" s="19"/>
      <c r="I167" s="19">
        <v>0.089</v>
      </c>
      <c r="J167" s="100">
        <v>1</v>
      </c>
      <c r="K167" s="19"/>
      <c r="L167" s="19"/>
      <c r="M167" s="19">
        <f>ROUND(F155*I167*J167,4)</f>
        <v>0.2491</v>
      </c>
    </row>
    <row r="168" spans="1:13" ht="15">
      <c r="A168" s="63"/>
      <c r="B168" s="49" t="str">
        <f>'Máy thi công'!B53</f>
        <v>M0111</v>
      </c>
      <c r="C168" s="100">
        <v>61</v>
      </c>
      <c r="D168" s="49" t="str">
        <f>" - "&amp;'Máy thi công'!D53</f>
        <v> - Máy khác</v>
      </c>
      <c r="E168" s="69" t="str">
        <f>'Máy thi công'!E53</f>
        <v>%</v>
      </c>
      <c r="F168" s="19"/>
      <c r="G168" s="19"/>
      <c r="H168" s="19"/>
      <c r="I168" s="19">
        <v>1</v>
      </c>
      <c r="J168" s="100"/>
      <c r="K168" s="19"/>
      <c r="L168" s="19"/>
      <c r="M168" s="19"/>
    </row>
    <row r="169" spans="1:13" ht="15">
      <c r="A169" s="110">
        <f>'Công trình'!A37</f>
        <v>16</v>
      </c>
      <c r="B169" s="119" t="str">
        <f>'Công trình'!C37</f>
        <v>AF.61110</v>
      </c>
      <c r="C169" s="12"/>
      <c r="D169" s="119" t="str">
        <f>'Công trình'!D37</f>
        <v>Lắp dựng cốt thép móng, ĐK ≤10mm</v>
      </c>
      <c r="E169" s="18" t="str">
        <f>'Công trình'!E37</f>
        <v>tấn</v>
      </c>
      <c r="F169" s="97">
        <f>'Công trình'!L37</f>
        <v>0.0364</v>
      </c>
      <c r="G169" s="62"/>
      <c r="H169" s="62"/>
      <c r="I169" s="62"/>
      <c r="J169" s="12"/>
      <c r="K169" s="62"/>
      <c r="L169" s="62"/>
      <c r="M169" s="62"/>
    </row>
    <row r="170" spans="1:13" ht="15">
      <c r="A170" s="60"/>
      <c r="B170" s="39"/>
      <c r="C170" s="89"/>
      <c r="D170" s="39" t="s">
        <v>81</v>
      </c>
      <c r="E170" s="66"/>
      <c r="F170" s="14"/>
      <c r="G170" s="14"/>
      <c r="H170" s="14"/>
      <c r="I170" s="14"/>
      <c r="J170" s="89"/>
      <c r="K170" s="14"/>
      <c r="L170" s="14"/>
      <c r="M170" s="14"/>
    </row>
    <row r="171" spans="1:13" ht="15">
      <c r="A171" s="63"/>
      <c r="B171" s="49" t="str">
        <f>'Vật liệu'!B24</f>
        <v>V00226</v>
      </c>
      <c r="C171" s="100">
        <v>8</v>
      </c>
      <c r="D171" s="49" t="str">
        <f>" - "&amp;'Vật liệu'!E24</f>
        <v> - Dây thép</v>
      </c>
      <c r="E171" s="69" t="str">
        <f>'Vật liệu'!F24</f>
        <v>kg</v>
      </c>
      <c r="F171" s="19"/>
      <c r="G171" s="19">
        <v>16.07</v>
      </c>
      <c r="H171" s="19"/>
      <c r="I171" s="19"/>
      <c r="J171" s="100">
        <v>1</v>
      </c>
      <c r="K171" s="19">
        <f>ROUND(F169*G171*J171,4)</f>
        <v>0.5849</v>
      </c>
      <c r="L171" s="19"/>
      <c r="M171" s="19"/>
    </row>
    <row r="172" spans="1:13" ht="15">
      <c r="A172" s="63"/>
      <c r="B172" s="49" t="str">
        <f>'Vật liệu'!B76</f>
        <v>V85992</v>
      </c>
      <c r="C172" s="100">
        <v>45</v>
      </c>
      <c r="D172" s="49" t="str">
        <f>" - "&amp;'Vật liệu'!E76</f>
        <v> - Thép tròn Fi ≤10mm</v>
      </c>
      <c r="E172" s="69" t="str">
        <f>'Vật liệu'!F76</f>
        <v>kg</v>
      </c>
      <c r="F172" s="19"/>
      <c r="G172" s="19">
        <v>1005</v>
      </c>
      <c r="H172" s="19"/>
      <c r="I172" s="19"/>
      <c r="J172" s="100">
        <v>1</v>
      </c>
      <c r="K172" s="19">
        <f>ROUND(F169*G172*J172,4)</f>
        <v>36.582</v>
      </c>
      <c r="L172" s="19"/>
      <c r="M172" s="19"/>
    </row>
    <row r="173" spans="1:13" ht="15">
      <c r="A173" s="60"/>
      <c r="B173" s="39"/>
      <c r="C173" s="89"/>
      <c r="D173" s="39" t="s">
        <v>88</v>
      </c>
      <c r="E173" s="66"/>
      <c r="F173" s="14"/>
      <c r="G173" s="14"/>
      <c r="H173" s="14"/>
      <c r="I173" s="14"/>
      <c r="J173" s="89"/>
      <c r="K173" s="14"/>
      <c r="L173" s="14"/>
      <c r="M173" s="14"/>
    </row>
    <row r="174" spans="1:13" ht="15">
      <c r="A174" s="63"/>
      <c r="B174" s="49" t="str">
        <f>'Nhân công'!B12</f>
        <v>N0015</v>
      </c>
      <c r="C174" s="100">
        <v>51</v>
      </c>
      <c r="D174" s="49" t="s">
        <v>288</v>
      </c>
      <c r="E174" s="69" t="str">
        <f>'Nhân công'!H12</f>
        <v>công</v>
      </c>
      <c r="F174" s="19"/>
      <c r="G174" s="19"/>
      <c r="H174" s="19">
        <v>10.75</v>
      </c>
      <c r="I174" s="19"/>
      <c r="J174" s="100">
        <v>1</v>
      </c>
      <c r="K174" s="19"/>
      <c r="L174" s="19">
        <f>ROUND(F169*H174*J174,4)</f>
        <v>0.3913</v>
      </c>
      <c r="M174" s="19"/>
    </row>
    <row r="175" spans="1:13" ht="15">
      <c r="A175" s="60"/>
      <c r="B175" s="39"/>
      <c r="C175" s="89"/>
      <c r="D175" s="39" t="s">
        <v>318</v>
      </c>
      <c r="E175" s="66"/>
      <c r="F175" s="14"/>
      <c r="G175" s="14"/>
      <c r="H175" s="14"/>
      <c r="I175" s="14"/>
      <c r="J175" s="89"/>
      <c r="K175" s="14"/>
      <c r="L175" s="14"/>
      <c r="M175" s="14"/>
    </row>
    <row r="176" spans="1:13" ht="15">
      <c r="A176" s="63"/>
      <c r="B176" s="49" t="str">
        <f>'Máy thi công'!B22</f>
        <v>M112.2601</v>
      </c>
      <c r="C176" s="100">
        <v>73</v>
      </c>
      <c r="D176" s="49" t="str">
        <f>" - "&amp;'Máy thi công'!D22</f>
        <v> - Máy cắt uốn cốt thép - công suất: 5 kW </v>
      </c>
      <c r="E176" s="69" t="str">
        <f>'Máy thi công'!E22</f>
        <v>ca</v>
      </c>
      <c r="F176" s="19"/>
      <c r="G176" s="19"/>
      <c r="H176" s="19"/>
      <c r="I176" s="19">
        <v>0.4</v>
      </c>
      <c r="J176" s="100">
        <v>1</v>
      </c>
      <c r="K176" s="19"/>
      <c r="L176" s="19"/>
      <c r="M176" s="19">
        <f>ROUND(F169*I176*J176,4)</f>
        <v>0.0146</v>
      </c>
    </row>
    <row r="177" spans="1:13" ht="15">
      <c r="A177" s="110">
        <f>'Công trình'!A39</f>
        <v>17</v>
      </c>
      <c r="B177" s="119" t="str">
        <f>'Công trình'!C39</f>
        <v>AF.61120</v>
      </c>
      <c r="C177" s="12"/>
      <c r="D177" s="119" t="str">
        <f>'Công trình'!D39</f>
        <v>Lắp dựng cốt thép móng, ĐK ≤18mm</v>
      </c>
      <c r="E177" s="18" t="str">
        <f>'Công trình'!E39</f>
        <v>tấn</v>
      </c>
      <c r="F177" s="97">
        <f>'Công trình'!L39</f>
        <v>0.0829</v>
      </c>
      <c r="G177" s="62"/>
      <c r="H177" s="62"/>
      <c r="I177" s="62"/>
      <c r="J177" s="12"/>
      <c r="K177" s="62"/>
      <c r="L177" s="62"/>
      <c r="M177" s="62"/>
    </row>
    <row r="178" spans="1:13" ht="15">
      <c r="A178" s="60"/>
      <c r="B178" s="39"/>
      <c r="C178" s="89"/>
      <c r="D178" s="39" t="s">
        <v>81</v>
      </c>
      <c r="E178" s="66"/>
      <c r="F178" s="14"/>
      <c r="G178" s="14"/>
      <c r="H178" s="14"/>
      <c r="I178" s="14"/>
      <c r="J178" s="89"/>
      <c r="K178" s="14"/>
      <c r="L178" s="14"/>
      <c r="M178" s="14"/>
    </row>
    <row r="179" spans="1:13" ht="15">
      <c r="A179" s="63"/>
      <c r="B179" s="49" t="str">
        <f>'Vật liệu'!B63</f>
        <v>V00515</v>
      </c>
      <c r="C179" s="100">
        <v>13</v>
      </c>
      <c r="D179" s="49" t="str">
        <f>" - "&amp;'Vật liệu'!E63</f>
        <v> - Que hàn</v>
      </c>
      <c r="E179" s="69" t="str">
        <f>'Vật liệu'!F63</f>
        <v>kg</v>
      </c>
      <c r="F179" s="19"/>
      <c r="G179" s="19">
        <v>4.64</v>
      </c>
      <c r="H179" s="19"/>
      <c r="I179" s="19"/>
      <c r="J179" s="100">
        <v>1</v>
      </c>
      <c r="K179" s="19">
        <f>ROUND(F177*G179*J179,4)</f>
        <v>0.3847</v>
      </c>
      <c r="L179" s="19"/>
      <c r="M179" s="19"/>
    </row>
    <row r="180" spans="1:13" ht="15">
      <c r="A180" s="63"/>
      <c r="B180" s="49" t="str">
        <f>'Vật liệu'!B24</f>
        <v>V00226</v>
      </c>
      <c r="C180" s="100">
        <v>8</v>
      </c>
      <c r="D180" s="49" t="str">
        <f>" - "&amp;'Vật liệu'!E24</f>
        <v> - Dây thép</v>
      </c>
      <c r="E180" s="69" t="str">
        <f>'Vật liệu'!F24</f>
        <v>kg</v>
      </c>
      <c r="F180" s="19"/>
      <c r="G180" s="19">
        <v>9.28</v>
      </c>
      <c r="H180" s="19"/>
      <c r="I180" s="19"/>
      <c r="J180" s="100">
        <v>1</v>
      </c>
      <c r="K180" s="19">
        <f>ROUND(F177*G180*J180,4)</f>
        <v>0.7693</v>
      </c>
      <c r="L180" s="19"/>
      <c r="M180" s="19"/>
    </row>
    <row r="181" spans="1:13" ht="15">
      <c r="A181" s="63"/>
      <c r="B181" s="49" t="str">
        <f>'Vật liệu'!B78</f>
        <v>V85993</v>
      </c>
      <c r="C181" s="100">
        <v>46</v>
      </c>
      <c r="D181" s="49" t="str">
        <f>" - "&amp;'Vật liệu'!E78</f>
        <v> - Thép tròn Fi ≤18mm</v>
      </c>
      <c r="E181" s="69" t="str">
        <f>'Vật liệu'!F78</f>
        <v>kg</v>
      </c>
      <c r="F181" s="19"/>
      <c r="G181" s="19">
        <v>1020</v>
      </c>
      <c r="H181" s="19"/>
      <c r="I181" s="19"/>
      <c r="J181" s="100">
        <v>1</v>
      </c>
      <c r="K181" s="19">
        <f>ROUND(F177*G181*J181,4)</f>
        <v>84.558</v>
      </c>
      <c r="L181" s="19"/>
      <c r="M181" s="19"/>
    </row>
    <row r="182" spans="1:13" ht="15">
      <c r="A182" s="60"/>
      <c r="B182" s="39"/>
      <c r="C182" s="89"/>
      <c r="D182" s="39" t="s">
        <v>88</v>
      </c>
      <c r="E182" s="66"/>
      <c r="F182" s="14"/>
      <c r="G182" s="14"/>
      <c r="H182" s="14"/>
      <c r="I182" s="14"/>
      <c r="J182" s="89"/>
      <c r="K182" s="14"/>
      <c r="L182" s="14"/>
      <c r="M182" s="14"/>
    </row>
    <row r="183" spans="1:13" ht="15">
      <c r="A183" s="63"/>
      <c r="B183" s="49" t="str">
        <f>'Nhân công'!B12</f>
        <v>N0015</v>
      </c>
      <c r="C183" s="100">
        <v>51</v>
      </c>
      <c r="D183" s="49" t="s">
        <v>288</v>
      </c>
      <c r="E183" s="69" t="str">
        <f>'Nhân công'!H12</f>
        <v>công</v>
      </c>
      <c r="F183" s="19"/>
      <c r="G183" s="19"/>
      <c r="H183" s="19">
        <v>7.67</v>
      </c>
      <c r="I183" s="19"/>
      <c r="J183" s="100">
        <v>1</v>
      </c>
      <c r="K183" s="19"/>
      <c r="L183" s="19">
        <f>ROUND(F177*H183*J183,4)</f>
        <v>0.6358</v>
      </c>
      <c r="M183" s="19"/>
    </row>
    <row r="184" spans="1:13" ht="15">
      <c r="A184" s="60"/>
      <c r="B184" s="39"/>
      <c r="C184" s="89"/>
      <c r="D184" s="39" t="s">
        <v>318</v>
      </c>
      <c r="E184" s="66"/>
      <c r="F184" s="14"/>
      <c r="G184" s="14"/>
      <c r="H184" s="14"/>
      <c r="I184" s="14"/>
      <c r="J184" s="89"/>
      <c r="K184" s="14"/>
      <c r="L184" s="14"/>
      <c r="M184" s="14"/>
    </row>
    <row r="185" spans="1:13" ht="15">
      <c r="A185" s="63"/>
      <c r="B185" s="49" t="str">
        <f>'Máy thi công'!B22</f>
        <v>M112.2601</v>
      </c>
      <c r="C185" s="100">
        <v>73</v>
      </c>
      <c r="D185" s="49" t="str">
        <f>" - "&amp;'Máy thi công'!D22</f>
        <v> - Máy cắt uốn cốt thép - công suất: 5 kW </v>
      </c>
      <c r="E185" s="69" t="str">
        <f>'Máy thi công'!E22</f>
        <v>ca</v>
      </c>
      <c r="F185" s="19"/>
      <c r="G185" s="19"/>
      <c r="H185" s="19"/>
      <c r="I185" s="19">
        <v>0.32</v>
      </c>
      <c r="J185" s="100">
        <v>1</v>
      </c>
      <c r="K185" s="19"/>
      <c r="L185" s="19"/>
      <c r="M185" s="19">
        <f>ROUND(F177*I185*J185,4)</f>
        <v>0.0265</v>
      </c>
    </row>
    <row r="186" spans="1:13" ht="30">
      <c r="A186" s="63"/>
      <c r="B186" s="49" t="str">
        <f>'Máy thi công'!B6</f>
        <v>M112.4002_TT11</v>
      </c>
      <c r="C186" s="100">
        <v>74</v>
      </c>
      <c r="D186" s="49" t="str">
        <f>" - "&amp;'Máy thi công'!D6</f>
        <v> - Biến thế hàn xoay chiều - công suất: 23 kW</v>
      </c>
      <c r="E186" s="69" t="str">
        <f>'Máy thi công'!E6</f>
        <v>ca</v>
      </c>
      <c r="F186" s="19"/>
      <c r="G186" s="19"/>
      <c r="H186" s="19"/>
      <c r="I186" s="19">
        <v>1.12</v>
      </c>
      <c r="J186" s="100">
        <v>1</v>
      </c>
      <c r="K186" s="19"/>
      <c r="L186" s="19"/>
      <c r="M186" s="19">
        <f>ROUND(F177*I186*J186,4)</f>
        <v>0.0928</v>
      </c>
    </row>
    <row r="187" spans="1:13" ht="42.75">
      <c r="A187" s="110">
        <f>'Công trình'!A41</f>
        <v>18</v>
      </c>
      <c r="B187" s="119" t="str">
        <f>'Công trình'!C41</f>
        <v>BB.46032</v>
      </c>
      <c r="C187" s="12"/>
      <c r="D187" s="119" t="str">
        <f>'Công trình'!D41</f>
        <v>Lắp đặt ống nhựa HDPE đường kính 140mm, PN8 bằng phương pháp hàn gia nhiệt, chiều dày 6,7mm</v>
      </c>
      <c r="E187" s="18" t="str">
        <f>'Công trình'!E41</f>
        <v>100m</v>
      </c>
      <c r="F187" s="97">
        <f>'Công trình'!L41</f>
        <v>0.24</v>
      </c>
      <c r="G187" s="62"/>
      <c r="H187" s="62"/>
      <c r="I187" s="62"/>
      <c r="J187" s="12"/>
      <c r="K187" s="62"/>
      <c r="L187" s="62"/>
      <c r="M187" s="62"/>
    </row>
    <row r="188" spans="1:13" ht="15">
      <c r="A188" s="60"/>
      <c r="B188" s="39"/>
      <c r="C188" s="89"/>
      <c r="D188" s="39" t="s">
        <v>81</v>
      </c>
      <c r="E188" s="66"/>
      <c r="F188" s="14"/>
      <c r="G188" s="14"/>
      <c r="H188" s="14"/>
      <c r="I188" s="14"/>
      <c r="J188" s="89"/>
      <c r="K188" s="14"/>
      <c r="L188" s="14"/>
      <c r="M188" s="14"/>
    </row>
    <row r="189" spans="1:13" ht="30">
      <c r="A189" s="63"/>
      <c r="B189" s="49" t="str">
        <f>'Vật liệu'!B59</f>
        <v>V86573</v>
      </c>
      <c r="C189" s="100">
        <v>47</v>
      </c>
      <c r="D189" s="49" t="str">
        <f>" - "&amp;'Vật liệu'!E59</f>
        <v> - Ống nhựa HDPE đường kính 140mm chiều dày 6,7mm</v>
      </c>
      <c r="E189" s="69" t="str">
        <f>'Vật liệu'!F59</f>
        <v>m</v>
      </c>
      <c r="F189" s="19"/>
      <c r="G189" s="19">
        <v>100.5</v>
      </c>
      <c r="H189" s="19"/>
      <c r="I189" s="19"/>
      <c r="J189" s="100">
        <v>1</v>
      </c>
      <c r="K189" s="19">
        <f>ROUND(F187*G189*J189,4)</f>
        <v>24.12</v>
      </c>
      <c r="L189" s="19"/>
      <c r="M189" s="19"/>
    </row>
    <row r="190" spans="1:13" ht="15">
      <c r="A190" s="63"/>
      <c r="B190" s="49" t="str">
        <f>'Vật liệu'!B89</f>
        <v>V00750</v>
      </c>
      <c r="C190" s="100">
        <v>29</v>
      </c>
      <c r="D190" s="49" t="str">
        <f>" - "&amp;'Vật liệu'!E89</f>
        <v> - Vật liệu khác</v>
      </c>
      <c r="E190" s="69" t="str">
        <f>'Vật liệu'!F89</f>
        <v>%</v>
      </c>
      <c r="F190" s="19"/>
      <c r="G190" s="19">
        <v>0.01</v>
      </c>
      <c r="H190" s="19"/>
      <c r="I190" s="19"/>
      <c r="J190" s="100"/>
      <c r="K190" s="19"/>
      <c r="L190" s="19"/>
      <c r="M190" s="19"/>
    </row>
    <row r="191" spans="1:13" ht="15">
      <c r="A191" s="60"/>
      <c r="B191" s="39"/>
      <c r="C191" s="89"/>
      <c r="D191" s="39" t="s">
        <v>88</v>
      </c>
      <c r="E191" s="66"/>
      <c r="F191" s="14"/>
      <c r="G191" s="14"/>
      <c r="H191" s="14"/>
      <c r="I191" s="14"/>
      <c r="J191" s="89"/>
      <c r="K191" s="14"/>
      <c r="L191" s="14"/>
      <c r="M191" s="14"/>
    </row>
    <row r="192" spans="1:13" ht="15">
      <c r="A192" s="63"/>
      <c r="B192" s="49" t="str">
        <f>'Nhân công'!B22</f>
        <v>N0040</v>
      </c>
      <c r="C192" s="100">
        <v>54</v>
      </c>
      <c r="D192" s="49" t="s">
        <v>244</v>
      </c>
      <c r="E192" s="69" t="str">
        <f>'Nhân công'!H22</f>
        <v>công</v>
      </c>
      <c r="F192" s="19"/>
      <c r="G192" s="19"/>
      <c r="H192" s="19">
        <v>9.13</v>
      </c>
      <c r="I192" s="19"/>
      <c r="J192" s="100">
        <v>1</v>
      </c>
      <c r="K192" s="19"/>
      <c r="L192" s="19">
        <f>ROUND(F187*H192*J192,4)</f>
        <v>2.1912</v>
      </c>
      <c r="M192" s="19"/>
    </row>
    <row r="193" spans="1:13" ht="15">
      <c r="A193" s="60"/>
      <c r="B193" s="39"/>
      <c r="C193" s="89"/>
      <c r="D193" s="39" t="s">
        <v>318</v>
      </c>
      <c r="E193" s="66"/>
      <c r="F193" s="14"/>
      <c r="G193" s="14"/>
      <c r="H193" s="14"/>
      <c r="I193" s="14"/>
      <c r="J193" s="89"/>
      <c r="K193" s="14"/>
      <c r="L193" s="14"/>
      <c r="M193" s="14"/>
    </row>
    <row r="194" spans="1:13" ht="15">
      <c r="A194" s="127"/>
      <c r="B194" s="107" t="str">
        <f>'Máy thi công'!B35</f>
        <v>M112.4302</v>
      </c>
      <c r="C194" s="29">
        <v>76</v>
      </c>
      <c r="D194" s="107" t="str">
        <f>" - "&amp;'Máy thi công'!D35</f>
        <v> - Máy hàn nối ống nhựa: Máy gia nhiệt D315mm</v>
      </c>
      <c r="E194" s="134" t="str">
        <f>'Máy thi công'!E35</f>
        <v>ca</v>
      </c>
      <c r="F194" s="79"/>
      <c r="G194" s="79"/>
      <c r="H194" s="79"/>
      <c r="I194" s="79">
        <v>0.909</v>
      </c>
      <c r="J194" s="29">
        <v>1</v>
      </c>
      <c r="K194" s="79"/>
      <c r="L194" s="79"/>
      <c r="M194" s="79">
        <f>ROUND(F187*I194*J194,4)</f>
        <v>0.2182</v>
      </c>
    </row>
    <row r="195" spans="1:13" ht="16.5" customHeight="1">
      <c r="A195" s="128"/>
      <c r="B195" s="104"/>
      <c r="C195" s="25"/>
      <c r="D195" s="104"/>
      <c r="E195" s="128"/>
      <c r="F195" s="25"/>
      <c r="G195" s="25"/>
      <c r="H195" s="25"/>
      <c r="I195" s="25"/>
      <c r="J195" s="25"/>
      <c r="K195" s="25"/>
      <c r="L195" s="25"/>
      <c r="M195" s="25"/>
    </row>
  </sheetData>
  <sheetProtection/>
  <mergeCells count="12">
    <mergeCell ref="D5:D6"/>
    <mergeCell ref="E5:E6"/>
    <mergeCell ref="F5:F6"/>
    <mergeCell ref="G5:I5"/>
    <mergeCell ref="J5:J6"/>
    <mergeCell ref="K5:M5"/>
    <mergeCell ref="A1:M1"/>
    <mergeCell ref="A2:M2"/>
    <mergeCell ref="A3:M3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1"/>
  <sheetViews>
    <sheetView showZeros="0" zoomScalePageLayoutView="0" workbookViewId="0" topLeftCell="A21">
      <selection activeCell="M61" sqref="M61"/>
    </sheetView>
  </sheetViews>
  <sheetFormatPr defaultColWidth="9.140625" defaultRowHeight="15"/>
  <cols>
    <col min="1" max="1" width="6.140625" style="130" customWidth="1"/>
    <col min="2" max="2" width="10.8515625" style="130" customWidth="1"/>
    <col min="3" max="3" width="11.140625" style="130" hidden="1" customWidth="1"/>
    <col min="4" max="4" width="11.00390625" style="130" hidden="1" customWidth="1"/>
    <col min="5" max="5" width="24.00390625" style="130" customWidth="1"/>
    <col min="6" max="6" width="9.140625" style="130" customWidth="1"/>
    <col min="7" max="7" width="10.00390625" style="130" hidden="1" customWidth="1"/>
    <col min="8" max="8" width="36.421875" style="130" hidden="1" customWidth="1"/>
    <col min="9" max="9" width="13.421875" style="130" customWidth="1"/>
    <col min="10" max="10" width="14.57421875" style="130" customWidth="1"/>
    <col min="11" max="11" width="14.8515625" style="130" hidden="1" customWidth="1"/>
    <col min="12" max="12" width="16.28125" style="130" hidden="1" customWidth="1"/>
    <col min="13" max="13" width="14.8515625" style="130" customWidth="1"/>
    <col min="14" max="14" width="15.140625" style="130" hidden="1" customWidth="1"/>
    <col min="15" max="15" width="8.421875" style="130" hidden="1" customWidth="1"/>
    <col min="16" max="16" width="13.00390625" style="130" hidden="1" customWidth="1"/>
    <col min="17" max="17" width="15.421875" style="130" hidden="1" customWidth="1"/>
    <col min="18" max="18" width="13.140625" style="130" hidden="1" customWidth="1"/>
    <col min="19" max="19" width="14.7109375" style="130" hidden="1" customWidth="1"/>
    <col min="20" max="20" width="12.00390625" style="130" hidden="1" customWidth="1"/>
    <col min="21" max="21" width="16.8515625" style="130" hidden="1" customWidth="1"/>
    <col min="22" max="22" width="12.57421875" style="130" hidden="1" customWidth="1"/>
    <col min="23" max="23" width="11.7109375" style="130" hidden="1" customWidth="1"/>
    <col min="24" max="24" width="12.421875" style="130" hidden="1" customWidth="1"/>
    <col min="25" max="25" width="13.8515625" style="130" hidden="1" customWidth="1"/>
    <col min="26" max="26" width="25.57421875" style="130" hidden="1" customWidth="1"/>
    <col min="27" max="27" width="26.00390625" style="130" hidden="1" customWidth="1"/>
    <col min="28" max="29" width="15.421875" style="130" customWidth="1"/>
    <col min="30" max="30" width="15.7109375" style="130" hidden="1" customWidth="1"/>
    <col min="31" max="16384" width="9.140625" style="130" customWidth="1"/>
  </cols>
  <sheetData>
    <row r="1" spans="1:30" ht="22.5" customHeight="1">
      <c r="A1" s="149" t="s">
        <v>552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25"/>
    </row>
    <row r="2" spans="1:30" ht="18" customHeight="1">
      <c r="A2" s="151" t="s">
        <v>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25"/>
    </row>
    <row r="3" spans="1:30" ht="19.5" customHeight="1">
      <c r="A3" s="150" t="str">
        <f>'Công trình'!A2</f>
        <v>Công trình: Sửa chữa nâng cấp mương suối Tú, bản Chại, xã Hiền Chung, huyện Quan Hóa, tỉnh Thanh Hóa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25"/>
    </row>
    <row r="4" spans="1:30" ht="18" customHeight="1">
      <c r="A4" s="147" t="str">
        <f>'Công trình'!A3</f>
        <v>HẠNG MỤC: Hạng mục 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25"/>
    </row>
    <row r="5" spans="1:30" ht="16.5" customHeight="1">
      <c r="A5" s="128"/>
      <c r="B5" s="104"/>
      <c r="C5" s="25"/>
      <c r="D5" s="104"/>
      <c r="E5" s="104"/>
      <c r="F5" s="128"/>
      <c r="G5" s="25"/>
      <c r="H5" s="10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152" t="s">
        <v>554</v>
      </c>
      <c r="AC5" s="152"/>
      <c r="AD5" s="152"/>
    </row>
    <row r="6" spans="1:30" ht="16.5" customHeight="1">
      <c r="A6" s="143" t="s">
        <v>576</v>
      </c>
      <c r="B6" s="144" t="s">
        <v>178</v>
      </c>
      <c r="C6" s="137" t="s">
        <v>605</v>
      </c>
      <c r="D6" s="137" t="s">
        <v>18</v>
      </c>
      <c r="E6" s="137" t="s">
        <v>54</v>
      </c>
      <c r="F6" s="137" t="s">
        <v>444</v>
      </c>
      <c r="G6" s="137" t="s">
        <v>379</v>
      </c>
      <c r="H6" s="137" t="s">
        <v>166</v>
      </c>
      <c r="I6" s="139" t="s">
        <v>84</v>
      </c>
      <c r="J6" s="138" t="s">
        <v>487</v>
      </c>
      <c r="K6" s="138" t="s">
        <v>239</v>
      </c>
      <c r="L6" s="138" t="s">
        <v>447</v>
      </c>
      <c r="M6" s="138" t="s">
        <v>470</v>
      </c>
      <c r="N6" s="138" t="s">
        <v>491</v>
      </c>
      <c r="O6" s="137" t="s">
        <v>452</v>
      </c>
      <c r="P6" s="138" t="s">
        <v>152</v>
      </c>
      <c r="Q6" s="138" t="s">
        <v>558</v>
      </c>
      <c r="R6" s="138" t="s">
        <v>502</v>
      </c>
      <c r="S6" s="138" t="s">
        <v>53</v>
      </c>
      <c r="T6" s="138" t="s">
        <v>539</v>
      </c>
      <c r="U6" s="138" t="s">
        <v>612</v>
      </c>
      <c r="V6" s="137" t="s">
        <v>59</v>
      </c>
      <c r="W6" s="137"/>
      <c r="X6" s="137"/>
      <c r="Y6" s="138" t="s">
        <v>10</v>
      </c>
      <c r="Z6" s="138" t="s">
        <v>97</v>
      </c>
      <c r="AA6" s="138" t="s">
        <v>46</v>
      </c>
      <c r="AB6" s="138" t="s">
        <v>252</v>
      </c>
      <c r="AC6" s="138" t="s">
        <v>291</v>
      </c>
      <c r="AD6" s="138" t="s">
        <v>116</v>
      </c>
    </row>
    <row r="7" spans="1:30" ht="16.5" customHeight="1">
      <c r="A7" s="143"/>
      <c r="B7" s="144"/>
      <c r="C7" s="137"/>
      <c r="D7" s="137"/>
      <c r="E7" s="137"/>
      <c r="F7" s="137"/>
      <c r="G7" s="137"/>
      <c r="H7" s="137"/>
      <c r="I7" s="139"/>
      <c r="J7" s="138"/>
      <c r="K7" s="138"/>
      <c r="L7" s="138"/>
      <c r="M7" s="138"/>
      <c r="N7" s="138"/>
      <c r="O7" s="137"/>
      <c r="P7" s="138"/>
      <c r="Q7" s="138"/>
      <c r="R7" s="138"/>
      <c r="S7" s="138"/>
      <c r="T7" s="138"/>
      <c r="U7" s="138"/>
      <c r="V7" s="131" t="s">
        <v>92</v>
      </c>
      <c r="W7" s="131" t="s">
        <v>140</v>
      </c>
      <c r="X7" s="82" t="s">
        <v>49</v>
      </c>
      <c r="Y7" s="138"/>
      <c r="Z7" s="138"/>
      <c r="AA7" s="138"/>
      <c r="AB7" s="138"/>
      <c r="AC7" s="138"/>
      <c r="AD7" s="138"/>
    </row>
    <row r="8" spans="1:30" ht="15">
      <c r="A8" s="110">
        <v>1</v>
      </c>
      <c r="B8" s="54" t="s">
        <v>529</v>
      </c>
      <c r="C8" s="12">
        <v>6</v>
      </c>
      <c r="D8" s="115">
        <v>0</v>
      </c>
      <c r="E8" s="91" t="s">
        <v>55</v>
      </c>
      <c r="F8" s="116" t="s">
        <v>559</v>
      </c>
      <c r="G8" s="12"/>
      <c r="H8" s="91"/>
      <c r="I8" s="62">
        <f>SUM(I9:I9)</f>
        <v>3.3465</v>
      </c>
      <c r="J8" s="88">
        <v>2500</v>
      </c>
      <c r="K8" s="88">
        <f>ROUND(I8*J8,0)</f>
        <v>8366</v>
      </c>
      <c r="L8" s="88"/>
      <c r="M8" s="88">
        <f>2500</f>
        <v>2500</v>
      </c>
      <c r="N8" s="88">
        <f>ROUND(I8*M8,0)</f>
        <v>8366</v>
      </c>
      <c r="O8" s="12">
        <v>1</v>
      </c>
      <c r="P8" s="88"/>
      <c r="Q8" s="88">
        <f>ROUND(I8*P8,0)</f>
        <v>0</v>
      </c>
      <c r="R8" s="88"/>
      <c r="S8" s="88">
        <f>ROUND(I8*R8,0)</f>
        <v>0</v>
      </c>
      <c r="T8" s="88"/>
      <c r="U8" s="88">
        <f>ROUND(I8*T8,0)</f>
        <v>0</v>
      </c>
      <c r="V8" s="12"/>
      <c r="W8" s="12"/>
      <c r="X8" s="88">
        <f>ROUND((M8+P8+R8+T8)*(W8+V8),0)</f>
        <v>0</v>
      </c>
      <c r="Y8" s="88">
        <f>M8+P8+R8+T8+X8</f>
        <v>2500</v>
      </c>
      <c r="Z8" s="88">
        <f>M8-J8</f>
        <v>0</v>
      </c>
      <c r="AA8" s="88">
        <f>ROUND(I8*Z8,0)</f>
        <v>0</v>
      </c>
      <c r="AB8" s="88">
        <f>Y8-J8</f>
        <v>0</v>
      </c>
      <c r="AC8" s="88">
        <f>ROUND(I8*AB8,0)</f>
        <v>0</v>
      </c>
      <c r="AD8" s="88">
        <f>ROUND(I8*Y8,0)</f>
        <v>8366</v>
      </c>
    </row>
    <row r="9" spans="1:30" ht="30" hidden="1">
      <c r="A9" s="63"/>
      <c r="B9" s="94" t="str">
        <f>'Công trình'!C27</f>
        <v>AI.61121</v>
      </c>
      <c r="C9" s="100"/>
      <c r="D9" s="70"/>
      <c r="E9" s="94" t="str">
        <f>'Công trình'!D27</f>
        <v>Lắp vì kèo thép khẩu độ ≤18m</v>
      </c>
      <c r="F9" s="69"/>
      <c r="G9" s="13">
        <v>1</v>
      </c>
      <c r="H9" s="49"/>
      <c r="I9" s="65">
        <f>'Hao phí vật tư'!K120</f>
        <v>3.3465</v>
      </c>
      <c r="J9" s="46"/>
      <c r="K9" s="90">
        <f>ROUND(I9*J8,2)</f>
        <v>8366.25</v>
      </c>
      <c r="L9" s="46"/>
      <c r="M9" s="46"/>
      <c r="N9" s="90">
        <f>ROUND(I9*M8,2)</f>
        <v>8366.25</v>
      </c>
      <c r="O9" s="100"/>
      <c r="P9" s="46"/>
      <c r="Q9" s="90">
        <f>ROUND(I9*P8,2)</f>
        <v>0</v>
      </c>
      <c r="R9" s="46"/>
      <c r="S9" s="90">
        <f>ROUND(I9*R8,2)</f>
        <v>0</v>
      </c>
      <c r="T9" s="46"/>
      <c r="U9" s="90">
        <f>ROUND(I9*T8,2)</f>
        <v>0</v>
      </c>
      <c r="V9" s="100"/>
      <c r="W9" s="100"/>
      <c r="X9" s="46"/>
      <c r="Y9" s="46"/>
      <c r="Z9" s="46"/>
      <c r="AA9" s="90">
        <f>ROUND(I9*Z8,2)</f>
        <v>0</v>
      </c>
      <c r="AB9" s="46"/>
      <c r="AC9" s="90">
        <f>ROUND(I9*AB8,2)</f>
        <v>0</v>
      </c>
      <c r="AD9" s="90">
        <f>ROUND(I9*Y8,2)</f>
        <v>8366.25</v>
      </c>
    </row>
    <row r="10" spans="1:30" ht="30">
      <c r="A10" s="63">
        <v>2</v>
      </c>
      <c r="B10" s="9" t="s">
        <v>192</v>
      </c>
      <c r="C10" s="100">
        <v>7</v>
      </c>
      <c r="D10" s="70">
        <v>0</v>
      </c>
      <c r="E10" s="49" t="s">
        <v>418</v>
      </c>
      <c r="F10" s="69" t="s">
        <v>454</v>
      </c>
      <c r="G10" s="100"/>
      <c r="H10" s="49" t="s">
        <v>262</v>
      </c>
      <c r="I10" s="19">
        <f>SUM(I11:I15)</f>
        <v>7.103800000000001</v>
      </c>
      <c r="J10" s="46">
        <v>150000</v>
      </c>
      <c r="K10" s="46">
        <f>ROUND(I10*J10,0)</f>
        <v>1065570</v>
      </c>
      <c r="L10" s="46">
        <v>247500</v>
      </c>
      <c r="M10" s="90">
        <f>225000</f>
        <v>225000</v>
      </c>
      <c r="N10" s="46">
        <f>ROUND(I10*M10,0)</f>
        <v>1598355</v>
      </c>
      <c r="O10" s="100">
        <v>1</v>
      </c>
      <c r="P10" s="46"/>
      <c r="Q10" s="46">
        <f>ROUND(I10*P10,0)</f>
        <v>0</v>
      </c>
      <c r="R10" s="46"/>
      <c r="S10" s="46">
        <f>ROUND(I10*R10,0)</f>
        <v>0</v>
      </c>
      <c r="T10" s="46"/>
      <c r="U10" s="46">
        <f>ROUND(I10*T10,0)</f>
        <v>0</v>
      </c>
      <c r="V10" s="100"/>
      <c r="W10" s="100"/>
      <c r="X10" s="46">
        <f>ROUND((M10+P10+R10+T10)*(W10+V10),0)</f>
        <v>0</v>
      </c>
      <c r="Y10" s="90">
        <f>M10+P10+R10+T10+X10</f>
        <v>225000</v>
      </c>
      <c r="Z10" s="46">
        <f>M10-J10</f>
        <v>75000</v>
      </c>
      <c r="AA10" s="46">
        <f>ROUND(I10*Z10,0)</f>
        <v>532785</v>
      </c>
      <c r="AB10" s="46">
        <f>Y10-J10</f>
        <v>75000</v>
      </c>
      <c r="AC10" s="46">
        <f>ROUND(I10*AB10,0)</f>
        <v>532785</v>
      </c>
      <c r="AD10" s="46">
        <f>ROUND(I10*Y10,0)</f>
        <v>1598355</v>
      </c>
    </row>
    <row r="11" spans="1:30" ht="60" hidden="1">
      <c r="A11" s="63"/>
      <c r="B11" s="94" t="str">
        <f>'Công trình'!C9</f>
        <v>AF.11110</v>
      </c>
      <c r="C11" s="100"/>
      <c r="D11" s="70"/>
      <c r="E11" s="94" t="str">
        <f>'Công trình'!D9</f>
        <v>Bê tông lót móng SX bằng máy trộn, đổ bằng thủ công, rộng ≤250cm, M100, đá 4x6, PCB30</v>
      </c>
      <c r="F11" s="69"/>
      <c r="G11" s="13">
        <v>1</v>
      </c>
      <c r="H11" s="49"/>
      <c r="I11" s="65">
        <f>'Hao phí vật tư'!K12</f>
        <v>0.3369</v>
      </c>
      <c r="J11" s="46"/>
      <c r="K11" s="90">
        <f>ROUND(I11*J10,2)</f>
        <v>50535</v>
      </c>
      <c r="L11" s="46"/>
      <c r="M11" s="46"/>
      <c r="N11" s="90">
        <f>ROUND(I11*M10,2)</f>
        <v>75802.5</v>
      </c>
      <c r="O11" s="100"/>
      <c r="P11" s="46"/>
      <c r="Q11" s="90">
        <f>ROUND(I11*P10,2)</f>
        <v>0</v>
      </c>
      <c r="R11" s="46"/>
      <c r="S11" s="90">
        <f>ROUND(I11*R10,2)</f>
        <v>0</v>
      </c>
      <c r="T11" s="46"/>
      <c r="U11" s="90">
        <f>ROUND(I11*T10,2)</f>
        <v>0</v>
      </c>
      <c r="V11" s="100"/>
      <c r="W11" s="100"/>
      <c r="X11" s="46"/>
      <c r="Y11" s="46"/>
      <c r="Z11" s="46"/>
      <c r="AA11" s="90">
        <f>ROUND(I11*Z10,2)</f>
        <v>25267.5</v>
      </c>
      <c r="AB11" s="46"/>
      <c r="AC11" s="90">
        <f>ROUND(I11*AB10,2)</f>
        <v>25267.5</v>
      </c>
      <c r="AD11" s="90">
        <f>ROUND(I11*Y10,2)</f>
        <v>75802.5</v>
      </c>
    </row>
    <row r="12" spans="1:30" ht="60" hidden="1">
      <c r="A12" s="63"/>
      <c r="B12" s="94" t="str">
        <f>'Công trình'!C13</f>
        <v>AF.14112</v>
      </c>
      <c r="C12" s="100"/>
      <c r="D12" s="70"/>
      <c r="E12" s="94" t="str">
        <f>'Công trình'!D13</f>
        <v>Bê tông móng, mố, trụ trên cạn SX bằng máy trộn, đổ bằng thủ công, bê tông M200, đá 1x2, PCB40</v>
      </c>
      <c r="F12" s="69"/>
      <c r="G12" s="13">
        <v>1</v>
      </c>
      <c r="H12" s="49"/>
      <c r="I12" s="65">
        <f>'Hao phí vật tư'!K33</f>
        <v>3.2732</v>
      </c>
      <c r="J12" s="46"/>
      <c r="K12" s="90">
        <f>ROUND(I12*J10,2)</f>
        <v>490980</v>
      </c>
      <c r="L12" s="46"/>
      <c r="M12" s="46"/>
      <c r="N12" s="90">
        <f>ROUND(I12*M10,2)</f>
        <v>736470</v>
      </c>
      <c r="O12" s="100"/>
      <c r="P12" s="46"/>
      <c r="Q12" s="90">
        <f>ROUND(I12*P10,2)</f>
        <v>0</v>
      </c>
      <c r="R12" s="46"/>
      <c r="S12" s="90">
        <f>ROUND(I12*R10,2)</f>
        <v>0</v>
      </c>
      <c r="T12" s="46"/>
      <c r="U12" s="90">
        <f>ROUND(I12*T10,2)</f>
        <v>0</v>
      </c>
      <c r="V12" s="100"/>
      <c r="W12" s="100"/>
      <c r="X12" s="46"/>
      <c r="Y12" s="46"/>
      <c r="Z12" s="46"/>
      <c r="AA12" s="90">
        <f>ROUND(I12*Z10,2)</f>
        <v>245490</v>
      </c>
      <c r="AB12" s="46"/>
      <c r="AC12" s="90">
        <f>ROUND(I12*AB10,2)</f>
        <v>245490</v>
      </c>
      <c r="AD12" s="90">
        <f>ROUND(I12*Y10,2)</f>
        <v>736470</v>
      </c>
    </row>
    <row r="13" spans="1:30" ht="60" hidden="1">
      <c r="A13" s="63"/>
      <c r="B13" s="94" t="str">
        <f>'Công trình'!C19</f>
        <v>AF.12242</v>
      </c>
      <c r="C13" s="100"/>
      <c r="D13" s="70"/>
      <c r="E13" s="94" t="str">
        <f>'Công trình'!D19</f>
        <v>Bê tông cột SX bằng máy trộn, đổ bằng thủ công, TD &gt;0,1m2, chiều cao ≤28m, M200, đá 1x2, PCB40</v>
      </c>
      <c r="F13" s="69"/>
      <c r="G13" s="13">
        <v>1</v>
      </c>
      <c r="H13" s="49"/>
      <c r="I13" s="65">
        <f>'Hao phí vật tư'!K66</f>
        <v>1.6885</v>
      </c>
      <c r="J13" s="46"/>
      <c r="K13" s="90">
        <f>ROUND(I13*J10,2)</f>
        <v>253275</v>
      </c>
      <c r="L13" s="46"/>
      <c r="M13" s="46"/>
      <c r="N13" s="90">
        <f>ROUND(I13*M10,2)</f>
        <v>379912.5</v>
      </c>
      <c r="O13" s="100"/>
      <c r="P13" s="46"/>
      <c r="Q13" s="90">
        <f>ROUND(I13*P10,2)</f>
        <v>0</v>
      </c>
      <c r="R13" s="46"/>
      <c r="S13" s="90">
        <f>ROUND(I13*R10,2)</f>
        <v>0</v>
      </c>
      <c r="T13" s="46"/>
      <c r="U13" s="90">
        <f>ROUND(I13*T10,2)</f>
        <v>0</v>
      </c>
      <c r="V13" s="100"/>
      <c r="W13" s="100"/>
      <c r="X13" s="46"/>
      <c r="Y13" s="46"/>
      <c r="Z13" s="46"/>
      <c r="AA13" s="90">
        <f>ROUND(I13*Z10,2)</f>
        <v>126637.5</v>
      </c>
      <c r="AB13" s="46"/>
      <c r="AC13" s="90">
        <f>ROUND(I13*AB10,2)</f>
        <v>126637.5</v>
      </c>
      <c r="AD13" s="90">
        <f>ROUND(I13*Y10,2)</f>
        <v>379912.5</v>
      </c>
    </row>
    <row r="14" spans="1:30" ht="60" hidden="1">
      <c r="A14" s="63"/>
      <c r="B14" s="94" t="str">
        <f>'Công trình'!C31</f>
        <v>AF.11110</v>
      </c>
      <c r="C14" s="100"/>
      <c r="D14" s="70"/>
      <c r="E14" s="94" t="str">
        <f>'Công trình'!D31</f>
        <v>Bê tông lót móng SX bằng máy trộn, đổ bằng thủ công, rộng ≤250cm, M100, đá 4x6, PCB30</v>
      </c>
      <c r="F14" s="69"/>
      <c r="G14" s="13">
        <v>1</v>
      </c>
      <c r="H14" s="49"/>
      <c r="I14" s="65">
        <f>'Hao phí vật tư'!K137</f>
        <v>0.2557</v>
      </c>
      <c r="J14" s="46"/>
      <c r="K14" s="90">
        <f>ROUND(I14*J10,2)</f>
        <v>38355</v>
      </c>
      <c r="L14" s="46"/>
      <c r="M14" s="46"/>
      <c r="N14" s="90">
        <f>ROUND(I14*M10,2)</f>
        <v>57532.5</v>
      </c>
      <c r="O14" s="100"/>
      <c r="P14" s="46"/>
      <c r="Q14" s="90">
        <f>ROUND(I14*P10,2)</f>
        <v>0</v>
      </c>
      <c r="R14" s="46"/>
      <c r="S14" s="90">
        <f>ROUND(I14*R10,2)</f>
        <v>0</v>
      </c>
      <c r="T14" s="46"/>
      <c r="U14" s="90">
        <f>ROUND(I14*T10,2)</f>
        <v>0</v>
      </c>
      <c r="V14" s="100"/>
      <c r="W14" s="100"/>
      <c r="X14" s="46"/>
      <c r="Y14" s="46"/>
      <c r="Z14" s="46"/>
      <c r="AA14" s="90">
        <f>ROUND(I14*Z10,2)</f>
        <v>19177.5</v>
      </c>
      <c r="AB14" s="46"/>
      <c r="AC14" s="90">
        <f>ROUND(I14*AB10,2)</f>
        <v>19177.5</v>
      </c>
      <c r="AD14" s="90">
        <f>ROUND(I14*Y10,2)</f>
        <v>57532.5</v>
      </c>
    </row>
    <row r="15" spans="1:30" ht="60" hidden="1">
      <c r="A15" s="63"/>
      <c r="B15" s="94" t="str">
        <f>'Công trình'!C35</f>
        <v>AF.14132</v>
      </c>
      <c r="C15" s="100"/>
      <c r="D15" s="70"/>
      <c r="E15" s="94" t="str">
        <f>'Công trình'!D35</f>
        <v>Bê tông móng, mố, trụ trên cạn SX bằng máy trộn, đổ bằng thủ công, bê tông M200, đá 2x4, PCB40</v>
      </c>
      <c r="F15" s="69"/>
      <c r="G15" s="13">
        <v>1</v>
      </c>
      <c r="H15" s="49"/>
      <c r="I15" s="65">
        <f>'Hao phí vật tư'!K158</f>
        <v>1.5495</v>
      </c>
      <c r="J15" s="46"/>
      <c r="K15" s="90">
        <f>ROUND(I15*J10,2)</f>
        <v>232425</v>
      </c>
      <c r="L15" s="46"/>
      <c r="M15" s="46"/>
      <c r="N15" s="90">
        <f>ROUND(I15*M10,2)</f>
        <v>348637.5</v>
      </c>
      <c r="O15" s="100"/>
      <c r="P15" s="46"/>
      <c r="Q15" s="90">
        <f>ROUND(I15*P10,2)</f>
        <v>0</v>
      </c>
      <c r="R15" s="46"/>
      <c r="S15" s="90">
        <f>ROUND(I15*R10,2)</f>
        <v>0</v>
      </c>
      <c r="T15" s="46"/>
      <c r="U15" s="90">
        <f>ROUND(I15*T10,2)</f>
        <v>0</v>
      </c>
      <c r="V15" s="100"/>
      <c r="W15" s="100"/>
      <c r="X15" s="46"/>
      <c r="Y15" s="46"/>
      <c r="Z15" s="46"/>
      <c r="AA15" s="90">
        <f>ROUND(I15*Z10,2)</f>
        <v>116212.5</v>
      </c>
      <c r="AB15" s="46"/>
      <c r="AC15" s="90">
        <f>ROUND(I15*AB10,2)</f>
        <v>116212.5</v>
      </c>
      <c r="AD15" s="90">
        <f>ROUND(I15*Y10,2)</f>
        <v>348637.5</v>
      </c>
    </row>
    <row r="16" spans="1:30" ht="30">
      <c r="A16" s="63">
        <v>3</v>
      </c>
      <c r="B16" s="9" t="s">
        <v>500</v>
      </c>
      <c r="C16" s="100">
        <v>35</v>
      </c>
      <c r="D16" s="70">
        <v>0</v>
      </c>
      <c r="E16" s="49" t="s">
        <v>293</v>
      </c>
      <c r="F16" s="69" t="s">
        <v>454</v>
      </c>
      <c r="G16" s="100"/>
      <c r="H16" s="49" t="s">
        <v>226</v>
      </c>
      <c r="I16" s="19">
        <f>SUM(I17:I17)</f>
        <v>2.5136</v>
      </c>
      <c r="J16" s="46">
        <v>150200</v>
      </c>
      <c r="K16" s="46">
        <f>ROUND(I16*J16,0)</f>
        <v>377543</v>
      </c>
      <c r="L16" s="46">
        <v>385000</v>
      </c>
      <c r="M16" s="90">
        <f>350000</f>
        <v>350000</v>
      </c>
      <c r="N16" s="46">
        <f>ROUND(I16*M16,0)</f>
        <v>879760</v>
      </c>
      <c r="O16" s="100">
        <v>1</v>
      </c>
      <c r="P16" s="46"/>
      <c r="Q16" s="46">
        <f>ROUND(I16*P16,0)</f>
        <v>0</v>
      </c>
      <c r="R16" s="46"/>
      <c r="S16" s="46">
        <f>ROUND(I16*R16,0)</f>
        <v>0</v>
      </c>
      <c r="T16" s="46"/>
      <c r="U16" s="46">
        <f>ROUND(I16*T16,0)</f>
        <v>0</v>
      </c>
      <c r="V16" s="100"/>
      <c r="W16" s="100"/>
      <c r="X16" s="46">
        <f>ROUND((M16+P16+R16+T16)*(W16+V16),0)</f>
        <v>0</v>
      </c>
      <c r="Y16" s="90">
        <f>M16+P16+R16+T16+X16</f>
        <v>350000</v>
      </c>
      <c r="Z16" s="46">
        <f>M16-J16</f>
        <v>199800</v>
      </c>
      <c r="AA16" s="46">
        <f>ROUND(I16*Z16,0)</f>
        <v>502217</v>
      </c>
      <c r="AB16" s="46">
        <f>Y16-J16</f>
        <v>199800</v>
      </c>
      <c r="AC16" s="46">
        <f>ROUND(I16*AB16,0)</f>
        <v>502217</v>
      </c>
      <c r="AD16" s="46">
        <f>ROUND(I16*Y16,0)</f>
        <v>879760</v>
      </c>
    </row>
    <row r="17" spans="1:30" ht="60" hidden="1">
      <c r="A17" s="63"/>
      <c r="B17" s="94" t="str">
        <f>'Công trình'!C35</f>
        <v>AF.14132</v>
      </c>
      <c r="C17" s="100"/>
      <c r="D17" s="70"/>
      <c r="E17" s="94" t="str">
        <f>'Công trình'!D35</f>
        <v>Bê tông móng, mố, trụ trên cạn SX bằng máy trộn, đổ bằng thủ công, bê tông M200, đá 2x4, PCB40</v>
      </c>
      <c r="F17" s="69"/>
      <c r="G17" s="13">
        <v>1</v>
      </c>
      <c r="H17" s="49"/>
      <c r="I17" s="65">
        <f>'Hao phí vật tư'!K159</f>
        <v>2.5136</v>
      </c>
      <c r="J17" s="46"/>
      <c r="K17" s="90">
        <f>ROUND(I17*J16,2)</f>
        <v>377542.72</v>
      </c>
      <c r="L17" s="46"/>
      <c r="M17" s="46"/>
      <c r="N17" s="90">
        <f>ROUND(I17*M16,2)</f>
        <v>879760</v>
      </c>
      <c r="O17" s="100"/>
      <c r="P17" s="46"/>
      <c r="Q17" s="90">
        <f>ROUND(I17*P16,2)</f>
        <v>0</v>
      </c>
      <c r="R17" s="46"/>
      <c r="S17" s="90">
        <f>ROUND(I17*R16,2)</f>
        <v>0</v>
      </c>
      <c r="T17" s="46"/>
      <c r="U17" s="90">
        <f>ROUND(I17*T16,2)</f>
        <v>0</v>
      </c>
      <c r="V17" s="100"/>
      <c r="W17" s="100"/>
      <c r="X17" s="46"/>
      <c r="Y17" s="46"/>
      <c r="Z17" s="46"/>
      <c r="AA17" s="90">
        <f>ROUND(I17*Z16,2)</f>
        <v>502217.28</v>
      </c>
      <c r="AB17" s="46"/>
      <c r="AC17" s="90">
        <f>ROUND(I17*AB16,2)</f>
        <v>502217.28</v>
      </c>
      <c r="AD17" s="90">
        <f>ROUND(I17*Y16,2)</f>
        <v>879760</v>
      </c>
    </row>
    <row r="18" spans="1:30" ht="30">
      <c r="A18" s="63">
        <v>4</v>
      </c>
      <c r="B18" s="9" t="s">
        <v>494</v>
      </c>
      <c r="C18" s="100">
        <v>36</v>
      </c>
      <c r="D18" s="70">
        <v>0</v>
      </c>
      <c r="E18" s="49" t="s">
        <v>305</v>
      </c>
      <c r="F18" s="69" t="s">
        <v>454</v>
      </c>
      <c r="G18" s="100"/>
      <c r="H18" s="49" t="s">
        <v>236</v>
      </c>
      <c r="I18" s="19">
        <f>SUM(I19:I20)</f>
        <v>0.9606</v>
      </c>
      <c r="J18" s="46">
        <v>150000</v>
      </c>
      <c r="K18" s="46">
        <f>ROUND(I18*J18,0)</f>
        <v>144090</v>
      </c>
      <c r="L18" s="46">
        <v>385000</v>
      </c>
      <c r="M18" s="90">
        <f>350000</f>
        <v>350000</v>
      </c>
      <c r="N18" s="46">
        <f>ROUND(I18*M18,0)</f>
        <v>336210</v>
      </c>
      <c r="O18" s="100">
        <v>1</v>
      </c>
      <c r="P18" s="46"/>
      <c r="Q18" s="46">
        <f>ROUND(I18*P18,0)</f>
        <v>0</v>
      </c>
      <c r="R18" s="46"/>
      <c r="S18" s="46">
        <f>ROUND(I18*R18,0)</f>
        <v>0</v>
      </c>
      <c r="T18" s="46"/>
      <c r="U18" s="46">
        <f>ROUND(I18*T18,0)</f>
        <v>0</v>
      </c>
      <c r="V18" s="100"/>
      <c r="W18" s="100"/>
      <c r="X18" s="46">
        <f>ROUND((M18+P18+R18+T18)*(W18+V18),0)</f>
        <v>0</v>
      </c>
      <c r="Y18" s="90">
        <f>M18+P18+R18+T18+X18</f>
        <v>350000</v>
      </c>
      <c r="Z18" s="46">
        <f>M18-J18</f>
        <v>200000</v>
      </c>
      <c r="AA18" s="46">
        <f>ROUND(I18*Z18,0)</f>
        <v>192120</v>
      </c>
      <c r="AB18" s="46">
        <f>Y18-J18</f>
        <v>200000</v>
      </c>
      <c r="AC18" s="46">
        <f>ROUND(I18*AB18,0)</f>
        <v>192120</v>
      </c>
      <c r="AD18" s="46">
        <f>ROUND(I18*Y18,0)</f>
        <v>336210</v>
      </c>
    </row>
    <row r="19" spans="1:30" ht="60" hidden="1">
      <c r="A19" s="63"/>
      <c r="B19" s="94" t="str">
        <f>'Công trình'!C9</f>
        <v>AF.11110</v>
      </c>
      <c r="C19" s="100"/>
      <c r="D19" s="70"/>
      <c r="E19" s="94" t="str">
        <f>'Công trình'!D9</f>
        <v>Bê tông lót móng SX bằng máy trộn, đổ bằng thủ công, rộng ≤250cm, M100, đá 4x6, PCB30</v>
      </c>
      <c r="F19" s="69"/>
      <c r="G19" s="13">
        <v>1</v>
      </c>
      <c r="H19" s="49"/>
      <c r="I19" s="65">
        <f>'Hao phí vật tư'!K13</f>
        <v>0.5461</v>
      </c>
      <c r="J19" s="46"/>
      <c r="K19" s="90">
        <f>ROUND(I19*J18,2)</f>
        <v>81915</v>
      </c>
      <c r="L19" s="46"/>
      <c r="M19" s="46"/>
      <c r="N19" s="90">
        <f>ROUND(I19*M18,2)</f>
        <v>191135</v>
      </c>
      <c r="O19" s="100"/>
      <c r="P19" s="46"/>
      <c r="Q19" s="90">
        <f>ROUND(I19*P18,2)</f>
        <v>0</v>
      </c>
      <c r="R19" s="46"/>
      <c r="S19" s="90">
        <f>ROUND(I19*R18,2)</f>
        <v>0</v>
      </c>
      <c r="T19" s="46"/>
      <c r="U19" s="90">
        <f>ROUND(I19*T18,2)</f>
        <v>0</v>
      </c>
      <c r="V19" s="100"/>
      <c r="W19" s="100"/>
      <c r="X19" s="46"/>
      <c r="Y19" s="46"/>
      <c r="Z19" s="46"/>
      <c r="AA19" s="90">
        <f>ROUND(I19*Z18,2)</f>
        <v>109220</v>
      </c>
      <c r="AB19" s="46"/>
      <c r="AC19" s="90">
        <f>ROUND(I19*AB18,2)</f>
        <v>109220</v>
      </c>
      <c r="AD19" s="90">
        <f>ROUND(I19*Y18,2)</f>
        <v>191135</v>
      </c>
    </row>
    <row r="20" spans="1:30" ht="60" hidden="1">
      <c r="A20" s="63"/>
      <c r="B20" s="94" t="str">
        <f>'Công trình'!C31</f>
        <v>AF.11110</v>
      </c>
      <c r="C20" s="100"/>
      <c r="D20" s="70"/>
      <c r="E20" s="94" t="str">
        <f>'Công trình'!D31</f>
        <v>Bê tông lót móng SX bằng máy trộn, đổ bằng thủ công, rộng ≤250cm, M100, đá 4x6, PCB30</v>
      </c>
      <c r="F20" s="69"/>
      <c r="G20" s="13">
        <v>1</v>
      </c>
      <c r="H20" s="49"/>
      <c r="I20" s="65">
        <f>'Hao phí vật tư'!K138</f>
        <v>0.4145</v>
      </c>
      <c r="J20" s="46"/>
      <c r="K20" s="90">
        <f>ROUND(I20*J18,2)</f>
        <v>62175</v>
      </c>
      <c r="L20" s="46"/>
      <c r="M20" s="46"/>
      <c r="N20" s="90">
        <f>ROUND(I20*M18,2)</f>
        <v>145075</v>
      </c>
      <c r="O20" s="100"/>
      <c r="P20" s="46"/>
      <c r="Q20" s="90">
        <f>ROUND(I20*P18,2)</f>
        <v>0</v>
      </c>
      <c r="R20" s="46"/>
      <c r="S20" s="90">
        <f>ROUND(I20*R18,2)</f>
        <v>0</v>
      </c>
      <c r="T20" s="46"/>
      <c r="U20" s="90">
        <f>ROUND(I20*T18,2)</f>
        <v>0</v>
      </c>
      <c r="V20" s="100"/>
      <c r="W20" s="100"/>
      <c r="X20" s="46"/>
      <c r="Y20" s="46"/>
      <c r="Z20" s="46"/>
      <c r="AA20" s="90">
        <f>ROUND(I20*Z18,2)</f>
        <v>82900</v>
      </c>
      <c r="AB20" s="46"/>
      <c r="AC20" s="90">
        <f>ROUND(I20*AB18,2)</f>
        <v>82900</v>
      </c>
      <c r="AD20" s="90">
        <f>ROUND(I20*Y18,2)</f>
        <v>145075</v>
      </c>
    </row>
    <row r="21" spans="1:30" ht="30">
      <c r="A21" s="63">
        <v>5</v>
      </c>
      <c r="B21" s="9" t="s">
        <v>602</v>
      </c>
      <c r="C21" s="100">
        <v>31</v>
      </c>
      <c r="D21" s="70">
        <v>0</v>
      </c>
      <c r="E21" s="49" t="s">
        <v>368</v>
      </c>
      <c r="F21" s="69" t="s">
        <v>454</v>
      </c>
      <c r="G21" s="100"/>
      <c r="H21" s="49" t="s">
        <v>337</v>
      </c>
      <c r="I21" s="19">
        <f>SUM(I22:I23)</f>
        <v>8.1852</v>
      </c>
      <c r="J21" s="46">
        <v>160000</v>
      </c>
      <c r="K21" s="46">
        <f>ROUND(I21*J21,0)</f>
        <v>1309632</v>
      </c>
      <c r="L21" s="46">
        <v>393800</v>
      </c>
      <c r="M21" s="90">
        <f>358000</f>
        <v>358000</v>
      </c>
      <c r="N21" s="46">
        <f>ROUND(I21*M21,0)</f>
        <v>2930302</v>
      </c>
      <c r="O21" s="100">
        <v>1</v>
      </c>
      <c r="P21" s="46"/>
      <c r="Q21" s="46">
        <f>ROUND(I21*P21,0)</f>
        <v>0</v>
      </c>
      <c r="R21" s="46"/>
      <c r="S21" s="46">
        <f>ROUND(I21*R21,0)</f>
        <v>0</v>
      </c>
      <c r="T21" s="46"/>
      <c r="U21" s="46">
        <f>ROUND(I21*T21,0)</f>
        <v>0</v>
      </c>
      <c r="V21" s="100"/>
      <c r="W21" s="100"/>
      <c r="X21" s="46">
        <f>ROUND((M21+P21+R21+T21)*(W21+V21),0)</f>
        <v>0</v>
      </c>
      <c r="Y21" s="90">
        <f>M21+P21+R21+T21+X21</f>
        <v>358000</v>
      </c>
      <c r="Z21" s="46">
        <f>M21-J21</f>
        <v>198000</v>
      </c>
      <c r="AA21" s="46">
        <f>ROUND(I21*Z21,0)</f>
        <v>1620670</v>
      </c>
      <c r="AB21" s="46">
        <f>Y21-J21</f>
        <v>198000</v>
      </c>
      <c r="AC21" s="46">
        <f>ROUND(I21*AB21,0)</f>
        <v>1620670</v>
      </c>
      <c r="AD21" s="46">
        <f>ROUND(I21*Y21,0)</f>
        <v>2930302</v>
      </c>
    </row>
    <row r="22" spans="1:30" ht="60" hidden="1">
      <c r="A22" s="63"/>
      <c r="B22" s="94" t="str">
        <f>'Công trình'!C13</f>
        <v>AF.14112</v>
      </c>
      <c r="C22" s="100"/>
      <c r="D22" s="70"/>
      <c r="E22" s="94" t="str">
        <f>'Công trình'!D13</f>
        <v>Bê tông móng, mố, trụ trên cạn SX bằng máy trộn, đổ bằng thủ công, bê tông M200, đá 1x2, PCB40</v>
      </c>
      <c r="F22" s="69"/>
      <c r="G22" s="13">
        <v>1</v>
      </c>
      <c r="H22" s="49"/>
      <c r="I22" s="65">
        <f>'Hao phí vật tư'!K34</f>
        <v>5.3997</v>
      </c>
      <c r="J22" s="46"/>
      <c r="K22" s="90">
        <f>ROUND(I22*J21,2)</f>
        <v>863952</v>
      </c>
      <c r="L22" s="46"/>
      <c r="M22" s="46"/>
      <c r="N22" s="90">
        <f>ROUND(I22*M21,2)</f>
        <v>1933092.6</v>
      </c>
      <c r="O22" s="100"/>
      <c r="P22" s="46"/>
      <c r="Q22" s="90">
        <f>ROUND(I22*P21,2)</f>
        <v>0</v>
      </c>
      <c r="R22" s="46"/>
      <c r="S22" s="90">
        <f>ROUND(I22*R21,2)</f>
        <v>0</v>
      </c>
      <c r="T22" s="46"/>
      <c r="U22" s="90">
        <f>ROUND(I22*T21,2)</f>
        <v>0</v>
      </c>
      <c r="V22" s="100"/>
      <c r="W22" s="100"/>
      <c r="X22" s="46"/>
      <c r="Y22" s="46"/>
      <c r="Z22" s="46"/>
      <c r="AA22" s="90">
        <f>ROUND(I22*Z21,2)</f>
        <v>1069140.6</v>
      </c>
      <c r="AB22" s="46"/>
      <c r="AC22" s="90">
        <f>ROUND(I22*AB21,2)</f>
        <v>1069140.6</v>
      </c>
      <c r="AD22" s="90">
        <f>ROUND(I22*Y21,2)</f>
        <v>1933092.6</v>
      </c>
    </row>
    <row r="23" spans="1:30" ht="60" hidden="1">
      <c r="A23" s="63"/>
      <c r="B23" s="94" t="str">
        <f>'Công trình'!C19</f>
        <v>AF.12242</v>
      </c>
      <c r="C23" s="100"/>
      <c r="D23" s="70"/>
      <c r="E23" s="94" t="str">
        <f>'Công trình'!D19</f>
        <v>Bê tông cột SX bằng máy trộn, đổ bằng thủ công, TD &gt;0,1m2, chiều cao ≤28m, M200, đá 1x2, PCB40</v>
      </c>
      <c r="F23" s="69"/>
      <c r="G23" s="13">
        <v>1</v>
      </c>
      <c r="H23" s="49"/>
      <c r="I23" s="65">
        <f>'Hao phí vật tư'!K67</f>
        <v>2.7855</v>
      </c>
      <c r="J23" s="46"/>
      <c r="K23" s="90">
        <f>ROUND(I23*J21,2)</f>
        <v>445680</v>
      </c>
      <c r="L23" s="46"/>
      <c r="M23" s="46"/>
      <c r="N23" s="90">
        <f>ROUND(I23*M21,2)</f>
        <v>997209</v>
      </c>
      <c r="O23" s="100"/>
      <c r="P23" s="46"/>
      <c r="Q23" s="90">
        <f>ROUND(I23*P21,2)</f>
        <v>0</v>
      </c>
      <c r="R23" s="46"/>
      <c r="S23" s="90">
        <f>ROUND(I23*R21,2)</f>
        <v>0</v>
      </c>
      <c r="T23" s="46"/>
      <c r="U23" s="90">
        <f>ROUND(I23*T21,2)</f>
        <v>0</v>
      </c>
      <c r="V23" s="100"/>
      <c r="W23" s="100"/>
      <c r="X23" s="46"/>
      <c r="Y23" s="46"/>
      <c r="Z23" s="46"/>
      <c r="AA23" s="90">
        <f>ROUND(I23*Z21,2)</f>
        <v>551529</v>
      </c>
      <c r="AB23" s="46"/>
      <c r="AC23" s="90">
        <f>ROUND(I23*AB21,2)</f>
        <v>551529</v>
      </c>
      <c r="AD23" s="90">
        <f>ROUND(I23*Y21,2)</f>
        <v>997209</v>
      </c>
    </row>
    <row r="24" spans="1:30" ht="30">
      <c r="A24" s="63">
        <v>6</v>
      </c>
      <c r="B24" s="9" t="s">
        <v>489</v>
      </c>
      <c r="C24" s="100">
        <v>8</v>
      </c>
      <c r="D24" s="70">
        <v>0</v>
      </c>
      <c r="E24" s="49" t="s">
        <v>110</v>
      </c>
      <c r="F24" s="69" t="s">
        <v>150</v>
      </c>
      <c r="G24" s="100"/>
      <c r="H24" s="49" t="s">
        <v>548</v>
      </c>
      <c r="I24" s="19">
        <f>SUM(I25:I30)</f>
        <v>9.493399999999998</v>
      </c>
      <c r="J24" s="46">
        <v>12200</v>
      </c>
      <c r="K24" s="46">
        <f>ROUND(I24*J24,0)</f>
        <v>115819</v>
      </c>
      <c r="L24" s="46">
        <v>23100</v>
      </c>
      <c r="M24" s="90">
        <f>21000</f>
        <v>21000</v>
      </c>
      <c r="N24" s="46">
        <f>ROUND(I24*M24,0)</f>
        <v>199361</v>
      </c>
      <c r="O24" s="100">
        <v>1</v>
      </c>
      <c r="P24" s="46"/>
      <c r="Q24" s="46">
        <f>ROUND(I24*P24,0)</f>
        <v>0</v>
      </c>
      <c r="R24" s="46"/>
      <c r="S24" s="46">
        <f>ROUND(I24*R24,0)</f>
        <v>0</v>
      </c>
      <c r="T24" s="46"/>
      <c r="U24" s="46">
        <f>ROUND(I24*T24,0)</f>
        <v>0</v>
      </c>
      <c r="V24" s="100"/>
      <c r="W24" s="100"/>
      <c r="X24" s="46">
        <f>ROUND((M24+P24+R24+T24)*(W24+V24),0)</f>
        <v>0</v>
      </c>
      <c r="Y24" s="90">
        <f>M24+P24+R24+T24+X24</f>
        <v>21000</v>
      </c>
      <c r="Z24" s="46">
        <f>M24-J24</f>
        <v>8800</v>
      </c>
      <c r="AA24" s="46">
        <f>ROUND(I24*Z24,0)</f>
        <v>83542</v>
      </c>
      <c r="AB24" s="46">
        <f>Y24-J24</f>
        <v>8800</v>
      </c>
      <c r="AC24" s="46">
        <f>ROUND(I24*AB24,0)</f>
        <v>83542</v>
      </c>
      <c r="AD24" s="46">
        <f>ROUND(I24*Y24,0)</f>
        <v>199361</v>
      </c>
    </row>
    <row r="25" spans="1:30" ht="30" hidden="1">
      <c r="A25" s="63"/>
      <c r="B25" s="94" t="str">
        <f>'Công trình'!C15</f>
        <v>AF.61120</v>
      </c>
      <c r="C25" s="100"/>
      <c r="D25" s="70"/>
      <c r="E25" s="94" t="str">
        <f>'Công trình'!D15</f>
        <v>Lắp dựng cốt thép móng, ĐK ≤18mm</v>
      </c>
      <c r="F25" s="69"/>
      <c r="G25" s="13">
        <v>1</v>
      </c>
      <c r="H25" s="49"/>
      <c r="I25" s="65">
        <f>'Hao phí vật tư'!K47</f>
        <v>2.681</v>
      </c>
      <c r="J25" s="46"/>
      <c r="K25" s="90">
        <f>ROUND(I25*J24,2)</f>
        <v>32708.2</v>
      </c>
      <c r="L25" s="46"/>
      <c r="M25" s="46"/>
      <c r="N25" s="90">
        <f>ROUND(I25*M24,2)</f>
        <v>56301</v>
      </c>
      <c r="O25" s="100"/>
      <c r="P25" s="46"/>
      <c r="Q25" s="90">
        <f>ROUND(I25*P24,2)</f>
        <v>0</v>
      </c>
      <c r="R25" s="46"/>
      <c r="S25" s="90">
        <f>ROUND(I25*R24,2)</f>
        <v>0</v>
      </c>
      <c r="T25" s="46"/>
      <c r="U25" s="90">
        <f>ROUND(I25*T24,2)</f>
        <v>0</v>
      </c>
      <c r="V25" s="100"/>
      <c r="W25" s="100"/>
      <c r="X25" s="46"/>
      <c r="Y25" s="46"/>
      <c r="Z25" s="46"/>
      <c r="AA25" s="90">
        <f>ROUND(I25*Z24,2)</f>
        <v>23592.8</v>
      </c>
      <c r="AB25" s="46"/>
      <c r="AC25" s="90">
        <f>ROUND(I25*AB24,2)</f>
        <v>23592.8</v>
      </c>
      <c r="AD25" s="90">
        <f>ROUND(I25*Y24,2)</f>
        <v>56301</v>
      </c>
    </row>
    <row r="26" spans="1:30" ht="45" hidden="1">
      <c r="A26" s="63"/>
      <c r="B26" s="94" t="str">
        <f>'Công trình'!C21</f>
        <v>AF.61412</v>
      </c>
      <c r="C26" s="100"/>
      <c r="D26" s="70"/>
      <c r="E26" s="94" t="str">
        <f>'Công trình'!D21</f>
        <v>Lắp dựng cốt thép cột, trụ, ĐK ≤10mm, chiều cao ≤28m</v>
      </c>
      <c r="F26" s="69"/>
      <c r="G26" s="13">
        <v>1</v>
      </c>
      <c r="H26" s="49"/>
      <c r="I26" s="65">
        <f>'Hao phí vật tư'!K78</f>
        <v>1.4833</v>
      </c>
      <c r="J26" s="46"/>
      <c r="K26" s="90">
        <f>ROUND(I26*J24,2)</f>
        <v>18096.26</v>
      </c>
      <c r="L26" s="46"/>
      <c r="M26" s="46"/>
      <c r="N26" s="90">
        <f>ROUND(I26*M24,2)</f>
        <v>31149.3</v>
      </c>
      <c r="O26" s="100"/>
      <c r="P26" s="46"/>
      <c r="Q26" s="90">
        <f>ROUND(I26*P24,2)</f>
        <v>0</v>
      </c>
      <c r="R26" s="46"/>
      <c r="S26" s="90">
        <f>ROUND(I26*R24,2)</f>
        <v>0</v>
      </c>
      <c r="T26" s="46"/>
      <c r="U26" s="90">
        <f>ROUND(I26*T24,2)</f>
        <v>0</v>
      </c>
      <c r="V26" s="100"/>
      <c r="W26" s="100"/>
      <c r="X26" s="46"/>
      <c r="Y26" s="46"/>
      <c r="Z26" s="46"/>
      <c r="AA26" s="90">
        <f>ROUND(I26*Z24,2)</f>
        <v>13053.04</v>
      </c>
      <c r="AB26" s="46"/>
      <c r="AC26" s="90">
        <f>ROUND(I26*AB24,2)</f>
        <v>13053.04</v>
      </c>
      <c r="AD26" s="90">
        <f>ROUND(I26*Y24,2)</f>
        <v>31149.3</v>
      </c>
    </row>
    <row r="27" spans="1:30" ht="45" hidden="1">
      <c r="A27" s="63"/>
      <c r="B27" s="94" t="str">
        <f>'Công trình'!C23</f>
        <v>AF.61422</v>
      </c>
      <c r="C27" s="100"/>
      <c r="D27" s="70"/>
      <c r="E27" s="94" t="str">
        <f>'Công trình'!D23</f>
        <v>Lắp dựng cốt thép cột, trụ, ĐK ≤18mm, chiều cao ≤28m</v>
      </c>
      <c r="F27" s="69"/>
      <c r="G27" s="13">
        <v>1</v>
      </c>
      <c r="H27" s="49"/>
      <c r="I27" s="65">
        <f>'Hao phí vật tư'!K90</f>
        <v>3.8633</v>
      </c>
      <c r="J27" s="46"/>
      <c r="K27" s="90">
        <f>ROUND(I27*J24,2)</f>
        <v>47132.26</v>
      </c>
      <c r="L27" s="46"/>
      <c r="M27" s="46"/>
      <c r="N27" s="90">
        <f>ROUND(I27*M24,2)</f>
        <v>81129.3</v>
      </c>
      <c r="O27" s="100"/>
      <c r="P27" s="46"/>
      <c r="Q27" s="90">
        <f>ROUND(I27*P24,2)</f>
        <v>0</v>
      </c>
      <c r="R27" s="46"/>
      <c r="S27" s="90">
        <f>ROUND(I27*R24,2)</f>
        <v>0</v>
      </c>
      <c r="T27" s="46"/>
      <c r="U27" s="90">
        <f>ROUND(I27*T24,2)</f>
        <v>0</v>
      </c>
      <c r="V27" s="100"/>
      <c r="W27" s="100"/>
      <c r="X27" s="46"/>
      <c r="Y27" s="46"/>
      <c r="Z27" s="46"/>
      <c r="AA27" s="90">
        <f>ROUND(I27*Z24,2)</f>
        <v>33997.04</v>
      </c>
      <c r="AB27" s="46"/>
      <c r="AC27" s="90">
        <f>ROUND(I27*AB24,2)</f>
        <v>33997.04</v>
      </c>
      <c r="AD27" s="90">
        <f>ROUND(I27*Y24,2)</f>
        <v>81129.3</v>
      </c>
    </row>
    <row r="28" spans="1:30" ht="30" hidden="1">
      <c r="A28" s="63"/>
      <c r="B28" s="94" t="str">
        <f>'Công trình'!C27</f>
        <v>AI.61121</v>
      </c>
      <c r="C28" s="100"/>
      <c r="D28" s="70"/>
      <c r="E28" s="94" t="str">
        <f>'Công trình'!D27</f>
        <v>Lắp vì kèo thép khẩu độ ≤18m</v>
      </c>
      <c r="F28" s="69"/>
      <c r="G28" s="13">
        <v>1</v>
      </c>
      <c r="H28" s="49"/>
      <c r="I28" s="65">
        <f>'Hao phí vật tư'!K119</f>
        <v>0.1116</v>
      </c>
      <c r="J28" s="46"/>
      <c r="K28" s="90">
        <f>ROUND(I28*J24,2)</f>
        <v>1361.52</v>
      </c>
      <c r="L28" s="46"/>
      <c r="M28" s="46"/>
      <c r="N28" s="90">
        <f>ROUND(I28*M24,2)</f>
        <v>2343.6</v>
      </c>
      <c r="O28" s="100"/>
      <c r="P28" s="46"/>
      <c r="Q28" s="90">
        <f>ROUND(I28*P24,2)</f>
        <v>0</v>
      </c>
      <c r="R28" s="46"/>
      <c r="S28" s="90">
        <f>ROUND(I28*R24,2)</f>
        <v>0</v>
      </c>
      <c r="T28" s="46"/>
      <c r="U28" s="90">
        <f>ROUND(I28*T24,2)</f>
        <v>0</v>
      </c>
      <c r="V28" s="100"/>
      <c r="W28" s="100"/>
      <c r="X28" s="46"/>
      <c r="Y28" s="46"/>
      <c r="Z28" s="46"/>
      <c r="AA28" s="90">
        <f>ROUND(I28*Z24,2)</f>
        <v>982.08</v>
      </c>
      <c r="AB28" s="46"/>
      <c r="AC28" s="90">
        <f>ROUND(I28*AB24,2)</f>
        <v>982.08</v>
      </c>
      <c r="AD28" s="90">
        <f>ROUND(I28*Y24,2)</f>
        <v>2343.6</v>
      </c>
    </row>
    <row r="29" spans="1:30" ht="30" hidden="1">
      <c r="A29" s="63"/>
      <c r="B29" s="94" t="str">
        <f>'Công trình'!C39</f>
        <v>AF.61120</v>
      </c>
      <c r="C29" s="100"/>
      <c r="D29" s="70"/>
      <c r="E29" s="94" t="str">
        <f>'Công trình'!D39</f>
        <v>Lắp dựng cốt thép móng, ĐK ≤18mm</v>
      </c>
      <c r="F29" s="69"/>
      <c r="G29" s="13">
        <v>1</v>
      </c>
      <c r="H29" s="49"/>
      <c r="I29" s="65">
        <f>'Hao phí vật tư'!K180</f>
        <v>0.7693</v>
      </c>
      <c r="J29" s="46"/>
      <c r="K29" s="90">
        <f>ROUND(I29*J24,2)</f>
        <v>9385.46</v>
      </c>
      <c r="L29" s="46"/>
      <c r="M29" s="46"/>
      <c r="N29" s="90">
        <f>ROUND(I29*M24,2)</f>
        <v>16155.3</v>
      </c>
      <c r="O29" s="100"/>
      <c r="P29" s="46"/>
      <c r="Q29" s="90">
        <f>ROUND(I29*P24,2)</f>
        <v>0</v>
      </c>
      <c r="R29" s="46"/>
      <c r="S29" s="90">
        <f>ROUND(I29*R24,2)</f>
        <v>0</v>
      </c>
      <c r="T29" s="46"/>
      <c r="U29" s="90">
        <f>ROUND(I29*T24,2)</f>
        <v>0</v>
      </c>
      <c r="V29" s="100"/>
      <c r="W29" s="100"/>
      <c r="X29" s="46"/>
      <c r="Y29" s="46"/>
      <c r="Z29" s="46"/>
      <c r="AA29" s="90">
        <f>ROUND(I29*Z24,2)</f>
        <v>6769.84</v>
      </c>
      <c r="AB29" s="46"/>
      <c r="AC29" s="90">
        <f>ROUND(I29*AB24,2)</f>
        <v>6769.84</v>
      </c>
      <c r="AD29" s="90">
        <f>ROUND(I29*Y24,2)</f>
        <v>16155.3</v>
      </c>
    </row>
    <row r="30" spans="1:30" ht="30" hidden="1">
      <c r="A30" s="63"/>
      <c r="B30" s="94" t="str">
        <f>'Công trình'!C37</f>
        <v>AF.61110</v>
      </c>
      <c r="C30" s="100"/>
      <c r="D30" s="70"/>
      <c r="E30" s="94" t="str">
        <f>'Công trình'!D37</f>
        <v>Lắp dựng cốt thép móng, ĐK ≤10mm</v>
      </c>
      <c r="F30" s="69"/>
      <c r="G30" s="13">
        <v>1</v>
      </c>
      <c r="H30" s="49"/>
      <c r="I30" s="65">
        <f>'Hao phí vật tư'!K171</f>
        <v>0.5849</v>
      </c>
      <c r="J30" s="46"/>
      <c r="K30" s="90">
        <f>ROUND(I30*J24,2)</f>
        <v>7135.78</v>
      </c>
      <c r="L30" s="46"/>
      <c r="M30" s="46"/>
      <c r="N30" s="90">
        <f>ROUND(I30*M24,2)</f>
        <v>12282.9</v>
      </c>
      <c r="O30" s="100"/>
      <c r="P30" s="46"/>
      <c r="Q30" s="90">
        <f>ROUND(I30*P24,2)</f>
        <v>0</v>
      </c>
      <c r="R30" s="46"/>
      <c r="S30" s="90">
        <f>ROUND(I30*R24,2)</f>
        <v>0</v>
      </c>
      <c r="T30" s="46"/>
      <c r="U30" s="90">
        <f>ROUND(I30*T24,2)</f>
        <v>0</v>
      </c>
      <c r="V30" s="100"/>
      <c r="W30" s="100"/>
      <c r="X30" s="46"/>
      <c r="Y30" s="46"/>
      <c r="Z30" s="46"/>
      <c r="AA30" s="90">
        <f>ROUND(I30*Z24,2)</f>
        <v>5147.12</v>
      </c>
      <c r="AB30" s="46"/>
      <c r="AC30" s="90">
        <f>ROUND(I30*AB24,2)</f>
        <v>5147.12</v>
      </c>
      <c r="AD30" s="90">
        <f>ROUND(I30*Y24,2)</f>
        <v>12282.9</v>
      </c>
    </row>
    <row r="31" spans="1:30" ht="30">
      <c r="A31" s="63">
        <v>7</v>
      </c>
      <c r="B31" s="9" t="s">
        <v>424</v>
      </c>
      <c r="C31" s="100">
        <v>30</v>
      </c>
      <c r="D31" s="70">
        <v>0</v>
      </c>
      <c r="E31" s="49" t="s">
        <v>328</v>
      </c>
      <c r="F31" s="69" t="s">
        <v>150</v>
      </c>
      <c r="G31" s="100"/>
      <c r="H31" s="49" t="s">
        <v>75</v>
      </c>
      <c r="I31" s="19">
        <f>SUM(I32:I34)</f>
        <v>8.259</v>
      </c>
      <c r="J31" s="46">
        <v>15460</v>
      </c>
      <c r="K31" s="46">
        <f>ROUND(I31*J31,0)</f>
        <v>127684</v>
      </c>
      <c r="L31" s="46">
        <v>23100</v>
      </c>
      <c r="M31" s="90">
        <f>21000</f>
        <v>21000</v>
      </c>
      <c r="N31" s="46">
        <f>ROUND(I31*M31,0)</f>
        <v>173439</v>
      </c>
      <c r="O31" s="100">
        <v>1</v>
      </c>
      <c r="P31" s="46"/>
      <c r="Q31" s="46">
        <f>ROUND(I31*P31,0)</f>
        <v>0</v>
      </c>
      <c r="R31" s="46"/>
      <c r="S31" s="46">
        <f>ROUND(I31*R31,0)</f>
        <v>0</v>
      </c>
      <c r="T31" s="46"/>
      <c r="U31" s="46">
        <f>ROUND(I31*T31,0)</f>
        <v>0</v>
      </c>
      <c r="V31" s="100"/>
      <c r="W31" s="100"/>
      <c r="X31" s="46">
        <f>ROUND((M31+P31+R31+T31)*(W31+V31),0)</f>
        <v>0</v>
      </c>
      <c r="Y31" s="90">
        <f>M31+P31+R31+T31+X31</f>
        <v>21000</v>
      </c>
      <c r="Z31" s="46">
        <f>M31-J31</f>
        <v>5540</v>
      </c>
      <c r="AA31" s="46">
        <f>ROUND(I31*Z31,0)</f>
        <v>45755</v>
      </c>
      <c r="AB31" s="46">
        <f>Y31-J31</f>
        <v>5540</v>
      </c>
      <c r="AC31" s="46">
        <f>ROUND(I31*AB31,0)</f>
        <v>45755</v>
      </c>
      <c r="AD31" s="46">
        <f>ROUND(I31*Y31,0)</f>
        <v>173439</v>
      </c>
    </row>
    <row r="32" spans="1:30" ht="30" hidden="1">
      <c r="A32" s="63"/>
      <c r="B32" s="94" t="str">
        <f>'Công trình'!C11</f>
        <v>AF.81122</v>
      </c>
      <c r="C32" s="100"/>
      <c r="D32" s="70"/>
      <c r="E32" s="94" t="str">
        <f>'Công trình'!D11</f>
        <v>Ván khuôn móng cột - Móng vuông, chữ nhật</v>
      </c>
      <c r="F32" s="69"/>
      <c r="G32" s="13">
        <v>1</v>
      </c>
      <c r="H32" s="49"/>
      <c r="I32" s="65">
        <f>'Hao phí vật tư'!K23</f>
        <v>3.024</v>
      </c>
      <c r="J32" s="46"/>
      <c r="K32" s="90">
        <f>ROUND(I32*J31,2)</f>
        <v>46751.04</v>
      </c>
      <c r="L32" s="46"/>
      <c r="M32" s="46"/>
      <c r="N32" s="90">
        <f>ROUND(I32*M31,2)</f>
        <v>63504</v>
      </c>
      <c r="O32" s="100"/>
      <c r="P32" s="46"/>
      <c r="Q32" s="90">
        <f>ROUND(I32*P31,2)</f>
        <v>0</v>
      </c>
      <c r="R32" s="46"/>
      <c r="S32" s="90">
        <f>ROUND(I32*R31,2)</f>
        <v>0</v>
      </c>
      <c r="T32" s="46"/>
      <c r="U32" s="90">
        <f>ROUND(I32*T31,2)</f>
        <v>0</v>
      </c>
      <c r="V32" s="100"/>
      <c r="W32" s="100"/>
      <c r="X32" s="46"/>
      <c r="Y32" s="46"/>
      <c r="Z32" s="46"/>
      <c r="AA32" s="90">
        <f>ROUND(I32*Z31,2)</f>
        <v>16752.96</v>
      </c>
      <c r="AB32" s="46"/>
      <c r="AC32" s="90">
        <f>ROUND(I32*AB31,2)</f>
        <v>16752.96</v>
      </c>
      <c r="AD32" s="90">
        <f>ROUND(I32*Y31,2)</f>
        <v>63504</v>
      </c>
    </row>
    <row r="33" spans="1:30" ht="30" hidden="1">
      <c r="A33" s="63"/>
      <c r="B33" s="94" t="str">
        <f>'Công trình'!C17</f>
        <v>AF.81132</v>
      </c>
      <c r="C33" s="100"/>
      <c r="D33" s="70"/>
      <c r="E33" s="94" t="str">
        <f>'Công trình'!D17</f>
        <v>Ván khuôn cột - Cột vuông, chữ nhật</v>
      </c>
      <c r="F33" s="69"/>
      <c r="G33" s="13">
        <v>1</v>
      </c>
      <c r="H33" s="49"/>
      <c r="I33" s="65">
        <f>'Hao phí vật tư'!K56</f>
        <v>4.68</v>
      </c>
      <c r="J33" s="46"/>
      <c r="K33" s="90">
        <f>ROUND(I33*J31,2)</f>
        <v>72352.8</v>
      </c>
      <c r="L33" s="46"/>
      <c r="M33" s="46"/>
      <c r="N33" s="90">
        <f>ROUND(I33*M31,2)</f>
        <v>98280</v>
      </c>
      <c r="O33" s="100"/>
      <c r="P33" s="46"/>
      <c r="Q33" s="90">
        <f>ROUND(I33*P31,2)</f>
        <v>0</v>
      </c>
      <c r="R33" s="46"/>
      <c r="S33" s="90">
        <f>ROUND(I33*R31,2)</f>
        <v>0</v>
      </c>
      <c r="T33" s="46"/>
      <c r="U33" s="90">
        <f>ROUND(I33*T31,2)</f>
        <v>0</v>
      </c>
      <c r="V33" s="100"/>
      <c r="W33" s="100"/>
      <c r="X33" s="46"/>
      <c r="Y33" s="46"/>
      <c r="Z33" s="46"/>
      <c r="AA33" s="90">
        <f>ROUND(I33*Z31,2)</f>
        <v>25927.2</v>
      </c>
      <c r="AB33" s="46"/>
      <c r="AC33" s="90">
        <f>ROUND(I33*AB31,2)</f>
        <v>25927.2</v>
      </c>
      <c r="AD33" s="90">
        <f>ROUND(I33*Y31,2)</f>
        <v>98280</v>
      </c>
    </row>
    <row r="34" spans="1:30" ht="30" hidden="1">
      <c r="A34" s="63"/>
      <c r="B34" s="94" t="str">
        <f>'Công trình'!C33</f>
        <v>AF.81122</v>
      </c>
      <c r="C34" s="100"/>
      <c r="D34" s="70"/>
      <c r="E34" s="94" t="str">
        <f>'Công trình'!D33</f>
        <v>Ván khuôn móng cột - Móng vuông, chữ nhật</v>
      </c>
      <c r="F34" s="69"/>
      <c r="G34" s="13">
        <v>1</v>
      </c>
      <c r="H34" s="49"/>
      <c r="I34" s="65">
        <f>'Hao phí vật tư'!K148</f>
        <v>0.555</v>
      </c>
      <c r="J34" s="46"/>
      <c r="K34" s="90">
        <f>ROUND(I34*J31,2)</f>
        <v>8580.3</v>
      </c>
      <c r="L34" s="46"/>
      <c r="M34" s="46"/>
      <c r="N34" s="90">
        <f>ROUND(I34*M31,2)</f>
        <v>11655</v>
      </c>
      <c r="O34" s="100"/>
      <c r="P34" s="46"/>
      <c r="Q34" s="90">
        <f>ROUND(I34*P31,2)</f>
        <v>0</v>
      </c>
      <c r="R34" s="46"/>
      <c r="S34" s="90">
        <f>ROUND(I34*R31,2)</f>
        <v>0</v>
      </c>
      <c r="T34" s="46"/>
      <c r="U34" s="90">
        <f>ROUND(I34*T31,2)</f>
        <v>0</v>
      </c>
      <c r="V34" s="100"/>
      <c r="W34" s="100"/>
      <c r="X34" s="46"/>
      <c r="Y34" s="46"/>
      <c r="Z34" s="46"/>
      <c r="AA34" s="90">
        <f>ROUND(I34*Z31,2)</f>
        <v>3074.7</v>
      </c>
      <c r="AB34" s="46"/>
      <c r="AC34" s="90">
        <f>ROUND(I34*AB31,2)</f>
        <v>3074.7</v>
      </c>
      <c r="AD34" s="90">
        <f>ROUND(I34*Y31,2)</f>
        <v>11655</v>
      </c>
    </row>
    <row r="35" spans="1:30" ht="15">
      <c r="A35" s="63">
        <v>8</v>
      </c>
      <c r="B35" s="9" t="s">
        <v>297</v>
      </c>
      <c r="C35" s="100">
        <v>42</v>
      </c>
      <c r="D35" s="70">
        <v>0</v>
      </c>
      <c r="E35" s="49" t="s">
        <v>33</v>
      </c>
      <c r="F35" s="69" t="s">
        <v>559</v>
      </c>
      <c r="G35" s="100"/>
      <c r="H35" s="49"/>
      <c r="I35" s="19">
        <f>SUM(I36:I36)</f>
        <v>2.231</v>
      </c>
      <c r="J35" s="46">
        <v>1500</v>
      </c>
      <c r="K35" s="46">
        <f>ROUND(I35*J35,0)</f>
        <v>3347</v>
      </c>
      <c r="L35" s="46"/>
      <c r="M35" s="46">
        <f>1500</f>
        <v>1500</v>
      </c>
      <c r="N35" s="46">
        <f>ROUND(I35*M35,0)</f>
        <v>3347</v>
      </c>
      <c r="O35" s="100">
        <v>1</v>
      </c>
      <c r="P35" s="46"/>
      <c r="Q35" s="46">
        <f>ROUND(I35*P35,0)</f>
        <v>0</v>
      </c>
      <c r="R35" s="46"/>
      <c r="S35" s="46">
        <f>ROUND(I35*R35,0)</f>
        <v>0</v>
      </c>
      <c r="T35" s="46"/>
      <c r="U35" s="46">
        <f>ROUND(I35*T35,0)</f>
        <v>0</v>
      </c>
      <c r="V35" s="100"/>
      <c r="W35" s="100"/>
      <c r="X35" s="46">
        <f>ROUND((M35+P35+R35+T35)*(W35+V35),0)</f>
        <v>0</v>
      </c>
      <c r="Y35" s="46">
        <f>M35+P35+R35+T35+X35</f>
        <v>1500</v>
      </c>
      <c r="Z35" s="46">
        <f>M35-J35</f>
        <v>0</v>
      </c>
      <c r="AA35" s="46">
        <f>ROUND(I35*Z35,0)</f>
        <v>0</v>
      </c>
      <c r="AB35" s="46">
        <f>Y35-J35</f>
        <v>0</v>
      </c>
      <c r="AC35" s="46">
        <f>ROUND(I35*AB35,0)</f>
        <v>0</v>
      </c>
      <c r="AD35" s="46">
        <f>ROUND(I35*Y35,0)</f>
        <v>3347</v>
      </c>
    </row>
    <row r="36" spans="1:30" ht="30" hidden="1">
      <c r="A36" s="63"/>
      <c r="B36" s="94" t="str">
        <f>'Công trình'!C27</f>
        <v>AI.61121</v>
      </c>
      <c r="C36" s="100"/>
      <c r="D36" s="70"/>
      <c r="E36" s="94" t="str">
        <f>'Công trình'!D27</f>
        <v>Lắp vì kèo thép khẩu độ ≤18m</v>
      </c>
      <c r="F36" s="69"/>
      <c r="G36" s="13">
        <v>1</v>
      </c>
      <c r="H36" s="49"/>
      <c r="I36" s="65">
        <f>'Hao phí vật tư'!K121</f>
        <v>2.231</v>
      </c>
      <c r="J36" s="46"/>
      <c r="K36" s="90">
        <f>ROUND(I36*J35,2)</f>
        <v>3346.5</v>
      </c>
      <c r="L36" s="46"/>
      <c r="M36" s="46"/>
      <c r="N36" s="90">
        <f>ROUND(I36*M35,2)</f>
        <v>3346.5</v>
      </c>
      <c r="O36" s="100"/>
      <c r="P36" s="46"/>
      <c r="Q36" s="90">
        <f>ROUND(I36*P35,2)</f>
        <v>0</v>
      </c>
      <c r="R36" s="46"/>
      <c r="S36" s="90">
        <f>ROUND(I36*R35,2)</f>
        <v>0</v>
      </c>
      <c r="T36" s="46"/>
      <c r="U36" s="90">
        <f>ROUND(I36*T35,2)</f>
        <v>0</v>
      </c>
      <c r="V36" s="100"/>
      <c r="W36" s="100"/>
      <c r="X36" s="46"/>
      <c r="Y36" s="46"/>
      <c r="Z36" s="46"/>
      <c r="AA36" s="90">
        <f>ROUND(I36*Z35,2)</f>
        <v>0</v>
      </c>
      <c r="AB36" s="46"/>
      <c r="AC36" s="90">
        <f>ROUND(I36*AB35,2)</f>
        <v>0</v>
      </c>
      <c r="AD36" s="90">
        <f>ROUND(I36*Y35,2)</f>
        <v>3346.5</v>
      </c>
    </row>
    <row r="37" spans="1:30" ht="15">
      <c r="A37" s="63">
        <v>9</v>
      </c>
      <c r="B37" s="9" t="s">
        <v>285</v>
      </c>
      <c r="C37" s="100">
        <v>9</v>
      </c>
      <c r="D37" s="70">
        <v>0</v>
      </c>
      <c r="E37" s="49" t="s">
        <v>417</v>
      </c>
      <c r="F37" s="69" t="s">
        <v>454</v>
      </c>
      <c r="G37" s="100"/>
      <c r="H37" s="49"/>
      <c r="I37" s="19">
        <f>SUM(I38:I38)</f>
        <v>0.0089</v>
      </c>
      <c r="J37" s="46">
        <v>2954545</v>
      </c>
      <c r="K37" s="46">
        <f>ROUND(I37*J37,0)</f>
        <v>26295</v>
      </c>
      <c r="L37" s="46"/>
      <c r="M37" s="46">
        <f>2954545</f>
        <v>2954545</v>
      </c>
      <c r="N37" s="46">
        <f>ROUND(I37*M37,0)</f>
        <v>26295</v>
      </c>
      <c r="O37" s="100">
        <v>1</v>
      </c>
      <c r="P37" s="46"/>
      <c r="Q37" s="46">
        <f>ROUND(I37*P37,0)</f>
        <v>0</v>
      </c>
      <c r="R37" s="46"/>
      <c r="S37" s="46">
        <f>ROUND(I37*R37,0)</f>
        <v>0</v>
      </c>
      <c r="T37" s="46"/>
      <c r="U37" s="46">
        <f>ROUND(I37*T37,0)</f>
        <v>0</v>
      </c>
      <c r="V37" s="100"/>
      <c r="W37" s="100"/>
      <c r="X37" s="46">
        <f>ROUND((M37+P37+R37+T37)*(W37+V37),0)</f>
        <v>0</v>
      </c>
      <c r="Y37" s="46">
        <f>M37+P37+R37+T37+X37</f>
        <v>2954545</v>
      </c>
      <c r="Z37" s="46">
        <f>M37-J37</f>
        <v>0</v>
      </c>
      <c r="AA37" s="46">
        <f>ROUND(I37*Z37,0)</f>
        <v>0</v>
      </c>
      <c r="AB37" s="46">
        <f>Y37-J37</f>
        <v>0</v>
      </c>
      <c r="AC37" s="46">
        <f>ROUND(I37*AB37,0)</f>
        <v>0</v>
      </c>
      <c r="AD37" s="46">
        <f>ROUND(I37*Y37,0)</f>
        <v>26295</v>
      </c>
    </row>
    <row r="38" spans="1:30" ht="30" hidden="1">
      <c r="A38" s="63"/>
      <c r="B38" s="94" t="str">
        <f>'Công trình'!C27</f>
        <v>AI.61121</v>
      </c>
      <c r="C38" s="100"/>
      <c r="D38" s="70"/>
      <c r="E38" s="94" t="str">
        <f>'Công trình'!D27</f>
        <v>Lắp vì kèo thép khẩu độ ≤18m</v>
      </c>
      <c r="F38" s="69"/>
      <c r="G38" s="13">
        <v>1</v>
      </c>
      <c r="H38" s="49"/>
      <c r="I38" s="65">
        <f>'Hao phí vật tư'!K118</f>
        <v>0.0089</v>
      </c>
      <c r="J38" s="46"/>
      <c r="K38" s="90">
        <f>ROUND(I38*J37,2)</f>
        <v>26295.45</v>
      </c>
      <c r="L38" s="46"/>
      <c r="M38" s="46"/>
      <c r="N38" s="90">
        <f>ROUND(I38*M37,2)</f>
        <v>26295.45</v>
      </c>
      <c r="O38" s="100"/>
      <c r="P38" s="46"/>
      <c r="Q38" s="90">
        <f>ROUND(I38*P37,2)</f>
        <v>0</v>
      </c>
      <c r="R38" s="46"/>
      <c r="S38" s="90">
        <f>ROUND(I38*R37,2)</f>
        <v>0</v>
      </c>
      <c r="T38" s="46"/>
      <c r="U38" s="90">
        <f>ROUND(I38*T37,2)</f>
        <v>0</v>
      </c>
      <c r="V38" s="100"/>
      <c r="W38" s="100"/>
      <c r="X38" s="46"/>
      <c r="Y38" s="46"/>
      <c r="Z38" s="46"/>
      <c r="AA38" s="90">
        <f>ROUND(I38*Z37,2)</f>
        <v>0</v>
      </c>
      <c r="AB38" s="46"/>
      <c r="AC38" s="90">
        <f>ROUND(I38*AB37,2)</f>
        <v>0</v>
      </c>
      <c r="AD38" s="90">
        <f>ROUND(I38*Y37,2)</f>
        <v>26295.45</v>
      </c>
    </row>
    <row r="39" spans="1:30" ht="15">
      <c r="A39" s="63">
        <v>10</v>
      </c>
      <c r="B39" s="9" t="s">
        <v>459</v>
      </c>
      <c r="C39" s="100">
        <v>10</v>
      </c>
      <c r="D39" s="70">
        <v>0</v>
      </c>
      <c r="E39" s="49" t="s">
        <v>423</v>
      </c>
      <c r="F39" s="69" t="s">
        <v>454</v>
      </c>
      <c r="G39" s="100"/>
      <c r="H39" s="49"/>
      <c r="I39" s="19">
        <f>SUM(I40:I42)</f>
        <v>0.2347</v>
      </c>
      <c r="J39" s="46">
        <v>2954545</v>
      </c>
      <c r="K39" s="46">
        <f>ROUND(I39*J39,0)</f>
        <v>693432</v>
      </c>
      <c r="L39" s="46"/>
      <c r="M39" s="46">
        <f>2954545</f>
        <v>2954545</v>
      </c>
      <c r="N39" s="46">
        <f>ROUND(I39*M39,0)</f>
        <v>693432</v>
      </c>
      <c r="O39" s="100">
        <v>1</v>
      </c>
      <c r="P39" s="46"/>
      <c r="Q39" s="46">
        <f>ROUND(I39*P39,0)</f>
        <v>0</v>
      </c>
      <c r="R39" s="46"/>
      <c r="S39" s="46">
        <f>ROUND(I39*R39,0)</f>
        <v>0</v>
      </c>
      <c r="T39" s="46"/>
      <c r="U39" s="46">
        <f>ROUND(I39*T39,0)</f>
        <v>0</v>
      </c>
      <c r="V39" s="100"/>
      <c r="W39" s="100"/>
      <c r="X39" s="46">
        <f>ROUND((M39+P39+R39+T39)*(W39+V39),0)</f>
        <v>0</v>
      </c>
      <c r="Y39" s="46">
        <f>M39+P39+R39+T39+X39</f>
        <v>2954545</v>
      </c>
      <c r="Z39" s="46">
        <f>M39-J39</f>
        <v>0</v>
      </c>
      <c r="AA39" s="46">
        <f>ROUND(I39*Z39,0)</f>
        <v>0</v>
      </c>
      <c r="AB39" s="46">
        <f>Y39-J39</f>
        <v>0</v>
      </c>
      <c r="AC39" s="46">
        <f>ROUND(I39*AB39,0)</f>
        <v>0</v>
      </c>
      <c r="AD39" s="46">
        <f>ROUND(I39*Y39,0)</f>
        <v>693432</v>
      </c>
    </row>
    <row r="40" spans="1:30" ht="30" hidden="1">
      <c r="A40" s="63"/>
      <c r="B40" s="94" t="str">
        <f>'Công trình'!C11</f>
        <v>AF.81122</v>
      </c>
      <c r="C40" s="100"/>
      <c r="D40" s="70"/>
      <c r="E40" s="94" t="str">
        <f>'Công trình'!D11</f>
        <v>Ván khuôn móng cột - Móng vuông, chữ nhật</v>
      </c>
      <c r="F40" s="69"/>
      <c r="G40" s="13">
        <v>1</v>
      </c>
      <c r="H40" s="49"/>
      <c r="I40" s="65">
        <f>'Hao phí vật tư'!K24</f>
        <v>0.0675</v>
      </c>
      <c r="J40" s="46"/>
      <c r="K40" s="90">
        <f>ROUND(I40*J39,2)</f>
        <v>199431.79</v>
      </c>
      <c r="L40" s="46"/>
      <c r="M40" s="46"/>
      <c r="N40" s="90">
        <f>ROUND(I40*M39,2)</f>
        <v>199431.79</v>
      </c>
      <c r="O40" s="100"/>
      <c r="P40" s="46"/>
      <c r="Q40" s="90">
        <f>ROUND(I40*P39,2)</f>
        <v>0</v>
      </c>
      <c r="R40" s="46"/>
      <c r="S40" s="90">
        <f>ROUND(I40*R39,2)</f>
        <v>0</v>
      </c>
      <c r="T40" s="46"/>
      <c r="U40" s="90">
        <f>ROUND(I40*T39,2)</f>
        <v>0</v>
      </c>
      <c r="V40" s="100"/>
      <c r="W40" s="100"/>
      <c r="X40" s="46"/>
      <c r="Y40" s="46"/>
      <c r="Z40" s="46"/>
      <c r="AA40" s="90">
        <f>ROUND(I40*Z39,2)</f>
        <v>0</v>
      </c>
      <c r="AB40" s="46"/>
      <c r="AC40" s="90">
        <f>ROUND(I40*AB39,2)</f>
        <v>0</v>
      </c>
      <c r="AD40" s="90">
        <f>ROUND(I40*Y39,2)</f>
        <v>199431.79</v>
      </c>
    </row>
    <row r="41" spans="1:30" ht="30" hidden="1">
      <c r="A41" s="63"/>
      <c r="B41" s="94" t="str">
        <f>'Công trình'!C17</f>
        <v>AF.81132</v>
      </c>
      <c r="C41" s="100"/>
      <c r="D41" s="70"/>
      <c r="E41" s="94" t="str">
        <f>'Công trình'!D17</f>
        <v>Ván khuôn cột - Cột vuông, chữ nhật</v>
      </c>
      <c r="F41" s="69"/>
      <c r="G41" s="13">
        <v>1</v>
      </c>
      <c r="H41" s="49"/>
      <c r="I41" s="65">
        <f>'Hao phí vật tư'!K57</f>
        <v>0.1548</v>
      </c>
      <c r="J41" s="46"/>
      <c r="K41" s="90">
        <f>ROUND(I41*J39,2)</f>
        <v>457363.57</v>
      </c>
      <c r="L41" s="46"/>
      <c r="M41" s="46"/>
      <c r="N41" s="90">
        <f>ROUND(I41*M39,2)</f>
        <v>457363.57</v>
      </c>
      <c r="O41" s="100"/>
      <c r="P41" s="46"/>
      <c r="Q41" s="90">
        <f>ROUND(I41*P39,2)</f>
        <v>0</v>
      </c>
      <c r="R41" s="46"/>
      <c r="S41" s="90">
        <f>ROUND(I41*R39,2)</f>
        <v>0</v>
      </c>
      <c r="T41" s="46"/>
      <c r="U41" s="90">
        <f>ROUND(I41*T39,2)</f>
        <v>0</v>
      </c>
      <c r="V41" s="100"/>
      <c r="W41" s="100"/>
      <c r="X41" s="46"/>
      <c r="Y41" s="46"/>
      <c r="Z41" s="46"/>
      <c r="AA41" s="90">
        <f>ROUND(I41*Z39,2)</f>
        <v>0</v>
      </c>
      <c r="AB41" s="46"/>
      <c r="AC41" s="90">
        <f>ROUND(I41*AB39,2)</f>
        <v>0</v>
      </c>
      <c r="AD41" s="90">
        <f>ROUND(I41*Y39,2)</f>
        <v>457363.57</v>
      </c>
    </row>
    <row r="42" spans="1:30" ht="30" hidden="1">
      <c r="A42" s="63"/>
      <c r="B42" s="94" t="str">
        <f>'Công trình'!C33</f>
        <v>AF.81122</v>
      </c>
      <c r="C42" s="100"/>
      <c r="D42" s="70"/>
      <c r="E42" s="94" t="str">
        <f>'Công trình'!D33</f>
        <v>Ván khuôn móng cột - Móng vuông, chữ nhật</v>
      </c>
      <c r="F42" s="69"/>
      <c r="G42" s="13">
        <v>1</v>
      </c>
      <c r="H42" s="49"/>
      <c r="I42" s="65">
        <f>'Hao phí vật tư'!K149</f>
        <v>0.0124</v>
      </c>
      <c r="J42" s="46"/>
      <c r="K42" s="90">
        <f>ROUND(I42*J39,2)</f>
        <v>36636.36</v>
      </c>
      <c r="L42" s="46"/>
      <c r="M42" s="46"/>
      <c r="N42" s="90">
        <f>ROUND(I42*M39,2)</f>
        <v>36636.36</v>
      </c>
      <c r="O42" s="100"/>
      <c r="P42" s="46"/>
      <c r="Q42" s="90">
        <f>ROUND(I42*P39,2)</f>
        <v>0</v>
      </c>
      <c r="R42" s="46"/>
      <c r="S42" s="90">
        <f>ROUND(I42*R39,2)</f>
        <v>0</v>
      </c>
      <c r="T42" s="46"/>
      <c r="U42" s="90">
        <f>ROUND(I42*T39,2)</f>
        <v>0</v>
      </c>
      <c r="V42" s="100"/>
      <c r="W42" s="100"/>
      <c r="X42" s="46"/>
      <c r="Y42" s="46"/>
      <c r="Z42" s="46"/>
      <c r="AA42" s="90">
        <f>ROUND(I42*Z39,2)</f>
        <v>0</v>
      </c>
      <c r="AB42" s="46"/>
      <c r="AC42" s="90">
        <f>ROUND(I42*AB39,2)</f>
        <v>0</v>
      </c>
      <c r="AD42" s="90">
        <f>ROUND(I42*Y39,2)</f>
        <v>36636.36</v>
      </c>
    </row>
    <row r="43" spans="1:30" ht="15">
      <c r="A43" s="63">
        <v>11</v>
      </c>
      <c r="B43" s="9" t="s">
        <v>595</v>
      </c>
      <c r="C43" s="100">
        <v>37</v>
      </c>
      <c r="D43" s="70">
        <v>0</v>
      </c>
      <c r="E43" s="49" t="s">
        <v>229</v>
      </c>
      <c r="F43" s="69" t="s">
        <v>454</v>
      </c>
      <c r="G43" s="100"/>
      <c r="H43" s="49"/>
      <c r="I43" s="19">
        <f>SUM(I44:I46)</f>
        <v>0.09659999999999999</v>
      </c>
      <c r="J43" s="46">
        <v>2954545</v>
      </c>
      <c r="K43" s="46">
        <f>ROUND(I43*J43,0)</f>
        <v>285409</v>
      </c>
      <c r="L43" s="46"/>
      <c r="M43" s="46">
        <f>2954545</f>
        <v>2954545</v>
      </c>
      <c r="N43" s="46">
        <f>ROUND(I43*M43,0)</f>
        <v>285409</v>
      </c>
      <c r="O43" s="100">
        <v>1</v>
      </c>
      <c r="P43" s="46"/>
      <c r="Q43" s="46">
        <f>ROUND(I43*P43,0)</f>
        <v>0</v>
      </c>
      <c r="R43" s="46"/>
      <c r="S43" s="46">
        <f>ROUND(I43*R43,0)</f>
        <v>0</v>
      </c>
      <c r="T43" s="46"/>
      <c r="U43" s="46">
        <f>ROUND(I43*T43,0)</f>
        <v>0</v>
      </c>
      <c r="V43" s="100"/>
      <c r="W43" s="100"/>
      <c r="X43" s="46">
        <f>ROUND((M43+P43+R43+T43)*(W43+V43),0)</f>
        <v>0</v>
      </c>
      <c r="Y43" s="46">
        <f>M43+P43+R43+T43+X43</f>
        <v>2954545</v>
      </c>
      <c r="Z43" s="46">
        <f>M43-J43</f>
        <v>0</v>
      </c>
      <c r="AA43" s="46">
        <f>ROUND(I43*Z43,0)</f>
        <v>0</v>
      </c>
      <c r="AB43" s="46">
        <f>Y43-J43</f>
        <v>0</v>
      </c>
      <c r="AC43" s="46">
        <f>ROUND(I43*AB43,0)</f>
        <v>0</v>
      </c>
      <c r="AD43" s="46">
        <f>ROUND(I43*Y43,0)</f>
        <v>285409</v>
      </c>
    </row>
    <row r="44" spans="1:30" ht="30" hidden="1">
      <c r="A44" s="63"/>
      <c r="B44" s="94" t="str">
        <f>'Công trình'!C11</f>
        <v>AF.81122</v>
      </c>
      <c r="C44" s="100"/>
      <c r="D44" s="70"/>
      <c r="E44" s="94" t="str">
        <f>'Công trình'!D11</f>
        <v>Ván khuôn móng cột - Móng vuông, chữ nhật</v>
      </c>
      <c r="F44" s="69"/>
      <c r="G44" s="13">
        <v>1</v>
      </c>
      <c r="H44" s="49"/>
      <c r="I44" s="65">
        <f>'Hao phí vật tư'!K26</f>
        <v>0.0423</v>
      </c>
      <c r="J44" s="46"/>
      <c r="K44" s="90">
        <f>ROUND(I44*J43,2)</f>
        <v>124977.25</v>
      </c>
      <c r="L44" s="46"/>
      <c r="M44" s="46"/>
      <c r="N44" s="90">
        <f>ROUND(I44*M43,2)</f>
        <v>124977.25</v>
      </c>
      <c r="O44" s="100"/>
      <c r="P44" s="46"/>
      <c r="Q44" s="90">
        <f>ROUND(I44*P43,2)</f>
        <v>0</v>
      </c>
      <c r="R44" s="46"/>
      <c r="S44" s="90">
        <f>ROUND(I44*R43,2)</f>
        <v>0</v>
      </c>
      <c r="T44" s="46"/>
      <c r="U44" s="90">
        <f>ROUND(I44*T43,2)</f>
        <v>0</v>
      </c>
      <c r="V44" s="100"/>
      <c r="W44" s="100"/>
      <c r="X44" s="46"/>
      <c r="Y44" s="46"/>
      <c r="Z44" s="46"/>
      <c r="AA44" s="90">
        <f>ROUND(I44*Z43,2)</f>
        <v>0</v>
      </c>
      <c r="AB44" s="46"/>
      <c r="AC44" s="90">
        <f>ROUND(I44*AB43,2)</f>
        <v>0</v>
      </c>
      <c r="AD44" s="90">
        <f>ROUND(I44*Y43,2)</f>
        <v>124977.25</v>
      </c>
    </row>
    <row r="45" spans="1:30" ht="30" hidden="1">
      <c r="A45" s="63"/>
      <c r="B45" s="94" t="str">
        <f>'Công trình'!C17</f>
        <v>AF.81132</v>
      </c>
      <c r="C45" s="100"/>
      <c r="D45" s="70"/>
      <c r="E45" s="94" t="str">
        <f>'Công trình'!D17</f>
        <v>Ván khuôn cột - Cột vuông, chữ nhật</v>
      </c>
      <c r="F45" s="69"/>
      <c r="G45" s="13">
        <v>1</v>
      </c>
      <c r="H45" s="49"/>
      <c r="I45" s="65">
        <f>'Hao phí vật tư'!K59</f>
        <v>0.0465</v>
      </c>
      <c r="J45" s="46"/>
      <c r="K45" s="90">
        <f>ROUND(I45*J43,2)</f>
        <v>137386.34</v>
      </c>
      <c r="L45" s="46"/>
      <c r="M45" s="46"/>
      <c r="N45" s="90">
        <f>ROUND(I45*M43,2)</f>
        <v>137386.34</v>
      </c>
      <c r="O45" s="100"/>
      <c r="P45" s="46"/>
      <c r="Q45" s="90">
        <f>ROUND(I45*P43,2)</f>
        <v>0</v>
      </c>
      <c r="R45" s="46"/>
      <c r="S45" s="90">
        <f>ROUND(I45*R43,2)</f>
        <v>0</v>
      </c>
      <c r="T45" s="46"/>
      <c r="U45" s="90">
        <f>ROUND(I45*T43,2)</f>
        <v>0</v>
      </c>
      <c r="V45" s="100"/>
      <c r="W45" s="100"/>
      <c r="X45" s="46"/>
      <c r="Y45" s="46"/>
      <c r="Z45" s="46"/>
      <c r="AA45" s="90">
        <f>ROUND(I45*Z43,2)</f>
        <v>0</v>
      </c>
      <c r="AB45" s="46"/>
      <c r="AC45" s="90">
        <f>ROUND(I45*AB43,2)</f>
        <v>0</v>
      </c>
      <c r="AD45" s="90">
        <f>ROUND(I45*Y43,2)</f>
        <v>137386.34</v>
      </c>
    </row>
    <row r="46" spans="1:30" ht="30" hidden="1">
      <c r="A46" s="63"/>
      <c r="B46" s="94" t="str">
        <f>'Công trình'!C33</f>
        <v>AF.81122</v>
      </c>
      <c r="C46" s="100"/>
      <c r="D46" s="70"/>
      <c r="E46" s="94" t="str">
        <f>'Công trình'!D33</f>
        <v>Ván khuôn móng cột - Móng vuông, chữ nhật</v>
      </c>
      <c r="F46" s="69"/>
      <c r="G46" s="13">
        <v>1</v>
      </c>
      <c r="H46" s="49"/>
      <c r="I46" s="65">
        <f>'Hao phí vật tư'!K151</f>
        <v>0.0078</v>
      </c>
      <c r="J46" s="46"/>
      <c r="K46" s="90">
        <f>ROUND(I46*J43,2)</f>
        <v>23045.45</v>
      </c>
      <c r="L46" s="46"/>
      <c r="M46" s="46"/>
      <c r="N46" s="90">
        <f>ROUND(I46*M43,2)</f>
        <v>23045.45</v>
      </c>
      <c r="O46" s="100"/>
      <c r="P46" s="46"/>
      <c r="Q46" s="90">
        <f>ROUND(I46*P43,2)</f>
        <v>0</v>
      </c>
      <c r="R46" s="46"/>
      <c r="S46" s="90">
        <f>ROUND(I46*R43,2)</f>
        <v>0</v>
      </c>
      <c r="T46" s="46"/>
      <c r="U46" s="90">
        <f>ROUND(I46*T43,2)</f>
        <v>0</v>
      </c>
      <c r="V46" s="100"/>
      <c r="W46" s="100"/>
      <c r="X46" s="46"/>
      <c r="Y46" s="46"/>
      <c r="Z46" s="46"/>
      <c r="AA46" s="90">
        <f>ROUND(I46*Z43,2)</f>
        <v>0</v>
      </c>
      <c r="AB46" s="46"/>
      <c r="AC46" s="90">
        <f>ROUND(I46*AB43,2)</f>
        <v>0</v>
      </c>
      <c r="AD46" s="90">
        <f>ROUND(I46*Y43,2)</f>
        <v>23045.45</v>
      </c>
    </row>
    <row r="47" spans="1:30" ht="17.25" customHeight="1">
      <c r="A47" s="63">
        <v>12</v>
      </c>
      <c r="B47" s="9" t="s">
        <v>519</v>
      </c>
      <c r="C47" s="100">
        <v>11</v>
      </c>
      <c r="D47" s="70">
        <v>0</v>
      </c>
      <c r="E47" s="49" t="s">
        <v>148</v>
      </c>
      <c r="F47" s="69" t="s">
        <v>454</v>
      </c>
      <c r="G47" s="100"/>
      <c r="H47" s="49" t="s">
        <v>86</v>
      </c>
      <c r="I47" s="19">
        <f>SUM(I48:I50)</f>
        <v>0.4372</v>
      </c>
      <c r="J47" s="46">
        <v>2954545</v>
      </c>
      <c r="K47" s="46">
        <f>ROUND(I47*J47,0)</f>
        <v>1291727</v>
      </c>
      <c r="L47" s="46">
        <v>3520000</v>
      </c>
      <c r="M47" s="90">
        <f>3200000</f>
        <v>3200000</v>
      </c>
      <c r="N47" s="46">
        <f>ROUND(I47*M47,0)</f>
        <v>1399040</v>
      </c>
      <c r="O47" s="100">
        <v>1</v>
      </c>
      <c r="P47" s="46"/>
      <c r="Q47" s="46">
        <f>ROUND(I47*P47,0)</f>
        <v>0</v>
      </c>
      <c r="R47" s="46"/>
      <c r="S47" s="46">
        <f>ROUND(I47*R47,0)</f>
        <v>0</v>
      </c>
      <c r="T47" s="46"/>
      <c r="U47" s="46">
        <f>ROUND(I47*T47,0)</f>
        <v>0</v>
      </c>
      <c r="V47" s="100"/>
      <c r="W47" s="100"/>
      <c r="X47" s="46">
        <f>ROUND((M47+P47+R47+T47)*(W47+V47),0)</f>
        <v>0</v>
      </c>
      <c r="Y47" s="90">
        <f>M47+P47+R47+T47+X47</f>
        <v>3200000</v>
      </c>
      <c r="Z47" s="46">
        <f>M47-J47</f>
        <v>245455</v>
      </c>
      <c r="AA47" s="46">
        <f>ROUND(I47*Z47,0)</f>
        <v>107313</v>
      </c>
      <c r="AB47" s="46">
        <f>Y47-J47</f>
        <v>245455</v>
      </c>
      <c r="AC47" s="46">
        <f>ROUND(I47*AB47,0)</f>
        <v>107313</v>
      </c>
      <c r="AD47" s="46">
        <f>ROUND(I47*Y47,0)</f>
        <v>1399040</v>
      </c>
    </row>
    <row r="48" spans="1:30" ht="30" hidden="1">
      <c r="A48" s="63"/>
      <c r="B48" s="94" t="str">
        <f>'Công trình'!C11</f>
        <v>AF.81122</v>
      </c>
      <c r="C48" s="100"/>
      <c r="D48" s="70"/>
      <c r="E48" s="94" t="str">
        <f>'Công trình'!D11</f>
        <v>Ván khuôn móng cột - Móng vuông, chữ nhật</v>
      </c>
      <c r="F48" s="69"/>
      <c r="G48" s="13">
        <v>1</v>
      </c>
      <c r="H48" s="49"/>
      <c r="I48" s="65">
        <f>'Hao phí vật tư'!K25</f>
        <v>0.1601</v>
      </c>
      <c r="J48" s="46"/>
      <c r="K48" s="90">
        <f>ROUND(I48*J47,2)</f>
        <v>473022.65</v>
      </c>
      <c r="L48" s="46"/>
      <c r="M48" s="46"/>
      <c r="N48" s="90">
        <f>ROUND(I48*M47,2)</f>
        <v>512320</v>
      </c>
      <c r="O48" s="100"/>
      <c r="P48" s="46"/>
      <c r="Q48" s="90">
        <f>ROUND(I48*P47,2)</f>
        <v>0</v>
      </c>
      <c r="R48" s="46"/>
      <c r="S48" s="90">
        <f>ROUND(I48*R47,2)</f>
        <v>0</v>
      </c>
      <c r="T48" s="46"/>
      <c r="U48" s="90">
        <f>ROUND(I48*T47,2)</f>
        <v>0</v>
      </c>
      <c r="V48" s="100"/>
      <c r="W48" s="100"/>
      <c r="X48" s="46"/>
      <c r="Y48" s="46"/>
      <c r="Z48" s="46"/>
      <c r="AA48" s="90">
        <f>ROUND(I48*Z47,2)</f>
        <v>39297.35</v>
      </c>
      <c r="AB48" s="46"/>
      <c r="AC48" s="90">
        <f>ROUND(I48*AB47,2)</f>
        <v>39297.35</v>
      </c>
      <c r="AD48" s="90">
        <f>ROUND(I48*Y47,2)</f>
        <v>512320</v>
      </c>
    </row>
    <row r="49" spans="1:30" ht="30" hidden="1">
      <c r="A49" s="63"/>
      <c r="B49" s="94" t="str">
        <f>'Công trình'!C17</f>
        <v>AF.81132</v>
      </c>
      <c r="C49" s="100"/>
      <c r="D49" s="70"/>
      <c r="E49" s="94" t="str">
        <f>'Công trình'!D17</f>
        <v>Ván khuôn cột - Cột vuông, chữ nhật</v>
      </c>
      <c r="F49" s="69"/>
      <c r="G49" s="13">
        <v>1</v>
      </c>
      <c r="H49" s="49"/>
      <c r="I49" s="65">
        <f>'Hao phí vật tư'!K58</f>
        <v>0.2477</v>
      </c>
      <c r="J49" s="46"/>
      <c r="K49" s="90">
        <f>ROUND(I49*J47,2)</f>
        <v>731840.8</v>
      </c>
      <c r="L49" s="46"/>
      <c r="M49" s="46"/>
      <c r="N49" s="90">
        <f>ROUND(I49*M47,2)</f>
        <v>792640</v>
      </c>
      <c r="O49" s="100"/>
      <c r="P49" s="46"/>
      <c r="Q49" s="90">
        <f>ROUND(I49*P47,2)</f>
        <v>0</v>
      </c>
      <c r="R49" s="46"/>
      <c r="S49" s="90">
        <f>ROUND(I49*R47,2)</f>
        <v>0</v>
      </c>
      <c r="T49" s="46"/>
      <c r="U49" s="90">
        <f>ROUND(I49*T47,2)</f>
        <v>0</v>
      </c>
      <c r="V49" s="100"/>
      <c r="W49" s="100"/>
      <c r="X49" s="46"/>
      <c r="Y49" s="46"/>
      <c r="Z49" s="46"/>
      <c r="AA49" s="90">
        <f>ROUND(I49*Z47,2)</f>
        <v>60799.2</v>
      </c>
      <c r="AB49" s="46"/>
      <c r="AC49" s="90">
        <f>ROUND(I49*AB47,2)</f>
        <v>60799.2</v>
      </c>
      <c r="AD49" s="90">
        <f>ROUND(I49*Y47,2)</f>
        <v>792640</v>
      </c>
    </row>
    <row r="50" spans="1:30" ht="30" hidden="1">
      <c r="A50" s="63"/>
      <c r="B50" s="94" t="str">
        <f>'Công trình'!C33</f>
        <v>AF.81122</v>
      </c>
      <c r="C50" s="100"/>
      <c r="D50" s="70"/>
      <c r="E50" s="94" t="str">
        <f>'Công trình'!D33</f>
        <v>Ván khuôn móng cột - Móng vuông, chữ nhật</v>
      </c>
      <c r="F50" s="69"/>
      <c r="G50" s="13">
        <v>1</v>
      </c>
      <c r="H50" s="49"/>
      <c r="I50" s="65">
        <f>'Hao phí vật tư'!K150</f>
        <v>0.0294</v>
      </c>
      <c r="J50" s="46"/>
      <c r="K50" s="90">
        <f>ROUND(I50*J47,2)</f>
        <v>86863.62</v>
      </c>
      <c r="L50" s="46"/>
      <c r="M50" s="46"/>
      <c r="N50" s="90">
        <f>ROUND(I50*M47,2)</f>
        <v>94080</v>
      </c>
      <c r="O50" s="100"/>
      <c r="P50" s="46"/>
      <c r="Q50" s="90">
        <f>ROUND(I50*P47,2)</f>
        <v>0</v>
      </c>
      <c r="R50" s="46"/>
      <c r="S50" s="90">
        <f>ROUND(I50*R47,2)</f>
        <v>0</v>
      </c>
      <c r="T50" s="46"/>
      <c r="U50" s="90">
        <f>ROUND(I50*T47,2)</f>
        <v>0</v>
      </c>
      <c r="V50" s="100"/>
      <c r="W50" s="100"/>
      <c r="X50" s="46"/>
      <c r="Y50" s="46"/>
      <c r="Z50" s="46"/>
      <c r="AA50" s="90">
        <f>ROUND(I50*Z47,2)</f>
        <v>7216.38</v>
      </c>
      <c r="AB50" s="46"/>
      <c r="AC50" s="90">
        <f>ROUND(I50*AB47,2)</f>
        <v>7216.38</v>
      </c>
      <c r="AD50" s="90">
        <f>ROUND(I50*Y47,2)</f>
        <v>94080</v>
      </c>
    </row>
    <row r="51" spans="1:30" ht="15">
      <c r="A51" s="63">
        <v>13</v>
      </c>
      <c r="B51" s="9" t="s">
        <v>545</v>
      </c>
      <c r="C51" s="100">
        <v>38</v>
      </c>
      <c r="D51" s="70">
        <v>0</v>
      </c>
      <c r="E51" s="49" t="s">
        <v>485</v>
      </c>
      <c r="F51" s="69" t="s">
        <v>150</v>
      </c>
      <c r="G51" s="100"/>
      <c r="H51" s="49"/>
      <c r="I51" s="19">
        <f>SUM(I52:I52)</f>
        <v>1.2583</v>
      </c>
      <c r="J51" s="46">
        <v>17000</v>
      </c>
      <c r="K51" s="46">
        <f>ROUND(I51*J51,0)</f>
        <v>21391</v>
      </c>
      <c r="L51" s="46"/>
      <c r="M51" s="46">
        <f>17000</f>
        <v>17000</v>
      </c>
      <c r="N51" s="46">
        <f>ROUND(I51*M51,0)</f>
        <v>21391</v>
      </c>
      <c r="O51" s="100">
        <v>1</v>
      </c>
      <c r="P51" s="46"/>
      <c r="Q51" s="46">
        <f>ROUND(I51*P51,0)</f>
        <v>0</v>
      </c>
      <c r="R51" s="46"/>
      <c r="S51" s="46">
        <f>ROUND(I51*R51,0)</f>
        <v>0</v>
      </c>
      <c r="T51" s="46"/>
      <c r="U51" s="46">
        <f>ROUND(I51*T51,0)</f>
        <v>0</v>
      </c>
      <c r="V51" s="100"/>
      <c r="W51" s="100"/>
      <c r="X51" s="46">
        <f>ROUND((M51+P51+R51+T51)*(W51+V51),0)</f>
        <v>0</v>
      </c>
      <c r="Y51" s="46">
        <f>M51+P51+R51+T51+X51</f>
        <v>17000</v>
      </c>
      <c r="Z51" s="46">
        <f>M51-J51</f>
        <v>0</v>
      </c>
      <c r="AA51" s="46">
        <f>ROUND(I51*Z51,0)</f>
        <v>0</v>
      </c>
      <c r="AB51" s="46">
        <f>Y51-J51</f>
        <v>0</v>
      </c>
      <c r="AC51" s="46">
        <f>ROUND(I51*AB51,0)</f>
        <v>0</v>
      </c>
      <c r="AD51" s="46">
        <f>ROUND(I51*Y51,0)</f>
        <v>21391</v>
      </c>
    </row>
    <row r="52" spans="1:30" ht="30" hidden="1">
      <c r="A52" s="63"/>
      <c r="B52" s="94" t="str">
        <f>'Công trình'!C25</f>
        <v>AI.11121</v>
      </c>
      <c r="C52" s="100"/>
      <c r="D52" s="70"/>
      <c r="E52" s="94" t="str">
        <f>'Công trình'!D25</f>
        <v>Gia công vì kèo thép hình khẩu độ nhỏ, khẩu độ ≤9m</v>
      </c>
      <c r="F52" s="69"/>
      <c r="G52" s="13">
        <v>1</v>
      </c>
      <c r="H52" s="49"/>
      <c r="I52" s="65">
        <f>'Hao phí vật tư'!K102</f>
        <v>1.2583</v>
      </c>
      <c r="J52" s="46"/>
      <c r="K52" s="90">
        <f>ROUND(I52*J51,2)</f>
        <v>21391.1</v>
      </c>
      <c r="L52" s="46"/>
      <c r="M52" s="46"/>
      <c r="N52" s="90">
        <f>ROUND(I52*M51,2)</f>
        <v>21391.1</v>
      </c>
      <c r="O52" s="100"/>
      <c r="P52" s="46"/>
      <c r="Q52" s="90">
        <f>ROUND(I52*P51,2)</f>
        <v>0</v>
      </c>
      <c r="R52" s="46"/>
      <c r="S52" s="90">
        <f>ROUND(I52*R51,2)</f>
        <v>0</v>
      </c>
      <c r="T52" s="46"/>
      <c r="U52" s="90">
        <f>ROUND(I52*T51,2)</f>
        <v>0</v>
      </c>
      <c r="V52" s="100"/>
      <c r="W52" s="100"/>
      <c r="X52" s="46"/>
      <c r="Y52" s="46"/>
      <c r="Z52" s="46"/>
      <c r="AA52" s="90">
        <f>ROUND(I52*Z51,2)</f>
        <v>0</v>
      </c>
      <c r="AB52" s="46"/>
      <c r="AC52" s="90">
        <f>ROUND(I52*AB51,2)</f>
        <v>0</v>
      </c>
      <c r="AD52" s="90">
        <f>ROUND(I52*Y51,2)</f>
        <v>21391.1</v>
      </c>
    </row>
    <row r="53" spans="1:30" ht="15">
      <c r="A53" s="63">
        <v>14</v>
      </c>
      <c r="B53" s="9" t="s">
        <v>68</v>
      </c>
      <c r="C53" s="100">
        <v>12</v>
      </c>
      <c r="D53" s="70">
        <v>0</v>
      </c>
      <c r="E53" s="49" t="s">
        <v>216</v>
      </c>
      <c r="F53" s="69" t="s">
        <v>442</v>
      </c>
      <c r="G53" s="100"/>
      <c r="H53" s="49"/>
      <c r="I53" s="19">
        <f>SUM(I54:I58)</f>
        <v>2387.8367000000003</v>
      </c>
      <c r="J53" s="46">
        <v>10</v>
      </c>
      <c r="K53" s="46">
        <f>ROUND(I53*J53,0)</f>
        <v>23878</v>
      </c>
      <c r="L53" s="46"/>
      <c r="M53" s="46">
        <f>10</f>
        <v>10</v>
      </c>
      <c r="N53" s="46">
        <f>ROUND(I53*M53,0)</f>
        <v>23878</v>
      </c>
      <c r="O53" s="100">
        <v>1</v>
      </c>
      <c r="P53" s="46"/>
      <c r="Q53" s="46">
        <f>ROUND(I53*P53,0)</f>
        <v>0</v>
      </c>
      <c r="R53" s="46"/>
      <c r="S53" s="46">
        <f>ROUND(I53*R53,0)</f>
        <v>0</v>
      </c>
      <c r="T53" s="46"/>
      <c r="U53" s="46">
        <f>ROUND(I53*T53,0)</f>
        <v>0</v>
      </c>
      <c r="V53" s="100"/>
      <c r="W53" s="100"/>
      <c r="X53" s="46">
        <f>ROUND((M53+P53+R53+T53)*(W53+V53),0)</f>
        <v>0</v>
      </c>
      <c r="Y53" s="46">
        <f>M53+P53+R53+T53+X53</f>
        <v>10</v>
      </c>
      <c r="Z53" s="46">
        <f>M53-J53</f>
        <v>0</v>
      </c>
      <c r="AA53" s="46">
        <f>ROUND(I53*Z53,0)</f>
        <v>0</v>
      </c>
      <c r="AB53" s="46">
        <f>Y53-J53</f>
        <v>0</v>
      </c>
      <c r="AC53" s="46">
        <f>ROUND(I53*AB53,0)</f>
        <v>0</v>
      </c>
      <c r="AD53" s="46">
        <f>ROUND(I53*Y53,0)</f>
        <v>23878</v>
      </c>
    </row>
    <row r="54" spans="1:30" ht="60" hidden="1">
      <c r="A54" s="63"/>
      <c r="B54" s="94" t="str">
        <f>'Công trình'!C9</f>
        <v>AF.11110</v>
      </c>
      <c r="C54" s="100"/>
      <c r="D54" s="70"/>
      <c r="E54" s="94" t="str">
        <f>'Công trình'!D9</f>
        <v>Bê tông lót móng SX bằng máy trộn, đổ bằng thủ công, rộng ≤250cm, M100, đá 4x6, PCB30</v>
      </c>
      <c r="F54" s="69"/>
      <c r="G54" s="13">
        <v>1</v>
      </c>
      <c r="H54" s="49"/>
      <c r="I54" s="65">
        <f>'Hao phí vật tư'!K14</f>
        <v>97.6374</v>
      </c>
      <c r="J54" s="46"/>
      <c r="K54" s="90">
        <f>ROUND(I54*J53,2)</f>
        <v>976.37</v>
      </c>
      <c r="L54" s="46"/>
      <c r="M54" s="46"/>
      <c r="N54" s="90">
        <f>ROUND(I54*M53,2)</f>
        <v>976.37</v>
      </c>
      <c r="O54" s="100"/>
      <c r="P54" s="46"/>
      <c r="Q54" s="90">
        <f>ROUND(I54*P53,2)</f>
        <v>0</v>
      </c>
      <c r="R54" s="46"/>
      <c r="S54" s="90">
        <f>ROUND(I54*R53,2)</f>
        <v>0</v>
      </c>
      <c r="T54" s="46"/>
      <c r="U54" s="90">
        <f>ROUND(I54*T53,2)</f>
        <v>0</v>
      </c>
      <c r="V54" s="100"/>
      <c r="W54" s="100"/>
      <c r="X54" s="46"/>
      <c r="Y54" s="46"/>
      <c r="Z54" s="46"/>
      <c r="AA54" s="90">
        <f>ROUND(I54*Z53,2)</f>
        <v>0</v>
      </c>
      <c r="AB54" s="46"/>
      <c r="AC54" s="90">
        <f>ROUND(I54*AB53,2)</f>
        <v>0</v>
      </c>
      <c r="AD54" s="90">
        <f>ROUND(I54*Y53,2)</f>
        <v>976.37</v>
      </c>
    </row>
    <row r="55" spans="1:30" ht="60" hidden="1">
      <c r="A55" s="63"/>
      <c r="B55" s="94" t="str">
        <f>'Công trình'!C13</f>
        <v>AF.14112</v>
      </c>
      <c r="C55" s="100"/>
      <c r="D55" s="70"/>
      <c r="E55" s="94" t="str">
        <f>'Công trình'!D13</f>
        <v>Bê tông móng, mố, trụ trên cạn SX bằng máy trộn, đổ bằng thủ công, bê tông M200, đá 1x2, PCB40</v>
      </c>
      <c r="F55" s="69"/>
      <c r="G55" s="13">
        <v>1</v>
      </c>
      <c r="H55" s="49"/>
      <c r="I55" s="65">
        <f>'Hao phí vật tư'!K35</f>
        <v>1134.4536</v>
      </c>
      <c r="J55" s="46"/>
      <c r="K55" s="90">
        <f>ROUND(I55*J53,2)</f>
        <v>11344.54</v>
      </c>
      <c r="L55" s="46"/>
      <c r="M55" s="46"/>
      <c r="N55" s="90">
        <f>ROUND(I55*M53,2)</f>
        <v>11344.54</v>
      </c>
      <c r="O55" s="100"/>
      <c r="P55" s="46"/>
      <c r="Q55" s="90">
        <f>ROUND(I55*P53,2)</f>
        <v>0</v>
      </c>
      <c r="R55" s="46"/>
      <c r="S55" s="90">
        <f>ROUND(I55*R53,2)</f>
        <v>0</v>
      </c>
      <c r="T55" s="46"/>
      <c r="U55" s="90">
        <f>ROUND(I55*T53,2)</f>
        <v>0</v>
      </c>
      <c r="V55" s="100"/>
      <c r="W55" s="100"/>
      <c r="X55" s="46"/>
      <c r="Y55" s="46"/>
      <c r="Z55" s="46"/>
      <c r="AA55" s="90">
        <f>ROUND(I55*Z53,2)</f>
        <v>0</v>
      </c>
      <c r="AB55" s="46"/>
      <c r="AC55" s="90">
        <f>ROUND(I55*AB53,2)</f>
        <v>0</v>
      </c>
      <c r="AD55" s="90">
        <f>ROUND(I55*Y53,2)</f>
        <v>11344.54</v>
      </c>
    </row>
    <row r="56" spans="1:30" ht="60" hidden="1">
      <c r="A56" s="63"/>
      <c r="B56" s="94" t="str">
        <f>'Công trình'!C19</f>
        <v>AF.12242</v>
      </c>
      <c r="C56" s="100"/>
      <c r="D56" s="70"/>
      <c r="E56" s="94" t="str">
        <f>'Công trình'!D19</f>
        <v>Bê tông cột SX bằng máy trộn, đổ bằng thủ công, TD &gt;0,1m2, chiều cao ≤28m, M200, đá 1x2, PCB40</v>
      </c>
      <c r="F56" s="69"/>
      <c r="G56" s="13">
        <v>1</v>
      </c>
      <c r="H56" s="49"/>
      <c r="I56" s="65">
        <f>'Hao phí vật tư'!K68</f>
        <v>585.234</v>
      </c>
      <c r="J56" s="46"/>
      <c r="K56" s="90">
        <f>ROUND(I56*J53,2)</f>
        <v>5852.34</v>
      </c>
      <c r="L56" s="46"/>
      <c r="M56" s="46"/>
      <c r="N56" s="90">
        <f>ROUND(I56*M53,2)</f>
        <v>5852.34</v>
      </c>
      <c r="O56" s="100"/>
      <c r="P56" s="46"/>
      <c r="Q56" s="90">
        <f>ROUND(I56*P53,2)</f>
        <v>0</v>
      </c>
      <c r="R56" s="46"/>
      <c r="S56" s="90">
        <f>ROUND(I56*R53,2)</f>
        <v>0</v>
      </c>
      <c r="T56" s="46"/>
      <c r="U56" s="90">
        <f>ROUND(I56*T53,2)</f>
        <v>0</v>
      </c>
      <c r="V56" s="100"/>
      <c r="W56" s="100"/>
      <c r="X56" s="46"/>
      <c r="Y56" s="46"/>
      <c r="Z56" s="46"/>
      <c r="AA56" s="90">
        <f>ROUND(I56*Z53,2)</f>
        <v>0</v>
      </c>
      <c r="AB56" s="46"/>
      <c r="AC56" s="90">
        <f>ROUND(I56*AB53,2)</f>
        <v>0</v>
      </c>
      <c r="AD56" s="90">
        <f>ROUND(I56*Y53,2)</f>
        <v>5852.34</v>
      </c>
    </row>
    <row r="57" spans="1:30" ht="60" hidden="1">
      <c r="A57" s="63"/>
      <c r="B57" s="94" t="str">
        <f>'Công trình'!C31</f>
        <v>AF.11110</v>
      </c>
      <c r="C57" s="100"/>
      <c r="D57" s="70"/>
      <c r="E57" s="94" t="str">
        <f>'Công trình'!D31</f>
        <v>Bê tông lót móng SX bằng máy trộn, đổ bằng thủ công, rộng ≤250cm, M100, đá 4x6, PCB30</v>
      </c>
      <c r="F57" s="69"/>
      <c r="G57" s="13">
        <v>1</v>
      </c>
      <c r="H57" s="49"/>
      <c r="I57" s="65">
        <f>'Hao phí vật tư'!K139</f>
        <v>74.1081</v>
      </c>
      <c r="J57" s="46"/>
      <c r="K57" s="90">
        <f>ROUND(I57*J53,2)</f>
        <v>741.08</v>
      </c>
      <c r="L57" s="46"/>
      <c r="M57" s="46"/>
      <c r="N57" s="90">
        <f>ROUND(I57*M53,2)</f>
        <v>741.08</v>
      </c>
      <c r="O57" s="100"/>
      <c r="P57" s="46"/>
      <c r="Q57" s="90">
        <f>ROUND(I57*P53,2)</f>
        <v>0</v>
      </c>
      <c r="R57" s="46"/>
      <c r="S57" s="90">
        <f>ROUND(I57*R53,2)</f>
        <v>0</v>
      </c>
      <c r="T57" s="46"/>
      <c r="U57" s="90">
        <f>ROUND(I57*T53,2)</f>
        <v>0</v>
      </c>
      <c r="V57" s="100"/>
      <c r="W57" s="100"/>
      <c r="X57" s="46"/>
      <c r="Y57" s="46"/>
      <c r="Z57" s="46"/>
      <c r="AA57" s="90">
        <f>ROUND(I57*Z53,2)</f>
        <v>0</v>
      </c>
      <c r="AB57" s="46"/>
      <c r="AC57" s="90">
        <f>ROUND(I57*AB53,2)</f>
        <v>0</v>
      </c>
      <c r="AD57" s="90">
        <f>ROUND(I57*Y53,2)</f>
        <v>741.08</v>
      </c>
    </row>
    <row r="58" spans="1:30" ht="60" hidden="1">
      <c r="A58" s="63"/>
      <c r="B58" s="94" t="str">
        <f>'Công trình'!C35</f>
        <v>AF.14132</v>
      </c>
      <c r="C58" s="100"/>
      <c r="D58" s="70"/>
      <c r="E58" s="94" t="str">
        <f>'Công trình'!D35</f>
        <v>Bê tông móng, mố, trụ trên cạn SX bằng máy trộn, đổ bằng thủ công, bê tông M200, đá 2x4, PCB40</v>
      </c>
      <c r="F58" s="69"/>
      <c r="G58" s="13">
        <v>1</v>
      </c>
      <c r="H58" s="49"/>
      <c r="I58" s="65">
        <f>'Hao phí vật tư'!K160</f>
        <v>496.4036</v>
      </c>
      <c r="J58" s="46"/>
      <c r="K58" s="90">
        <f>ROUND(I58*J53,2)</f>
        <v>4964.04</v>
      </c>
      <c r="L58" s="46"/>
      <c r="M58" s="46"/>
      <c r="N58" s="90">
        <f>ROUND(I58*M53,2)</f>
        <v>4964.04</v>
      </c>
      <c r="O58" s="100"/>
      <c r="P58" s="46"/>
      <c r="Q58" s="90">
        <f>ROUND(I58*P53,2)</f>
        <v>0</v>
      </c>
      <c r="R58" s="46"/>
      <c r="S58" s="90">
        <f>ROUND(I58*R53,2)</f>
        <v>0</v>
      </c>
      <c r="T58" s="46"/>
      <c r="U58" s="90">
        <f>ROUND(I58*T53,2)</f>
        <v>0</v>
      </c>
      <c r="V58" s="100"/>
      <c r="W58" s="100"/>
      <c r="X58" s="46"/>
      <c r="Y58" s="46"/>
      <c r="Z58" s="46"/>
      <c r="AA58" s="90">
        <f>ROUND(I58*Z53,2)</f>
        <v>0</v>
      </c>
      <c r="AB58" s="46"/>
      <c r="AC58" s="90">
        <f>ROUND(I58*AB53,2)</f>
        <v>0</v>
      </c>
      <c r="AD58" s="90">
        <f>ROUND(I58*Y53,2)</f>
        <v>4964.04</v>
      </c>
    </row>
    <row r="59" spans="1:30" ht="45">
      <c r="A59" s="63">
        <v>15</v>
      </c>
      <c r="B59" s="9" t="s">
        <v>12</v>
      </c>
      <c r="C59" s="100">
        <v>47</v>
      </c>
      <c r="D59" s="70">
        <v>0</v>
      </c>
      <c r="E59" s="49" t="s">
        <v>386</v>
      </c>
      <c r="F59" s="69" t="s">
        <v>385</v>
      </c>
      <c r="G59" s="100"/>
      <c r="H59" s="49" t="s">
        <v>568</v>
      </c>
      <c r="I59" s="19">
        <f>SUM(I60:I60)</f>
        <v>24.12</v>
      </c>
      <c r="J59" s="46">
        <v>194270</v>
      </c>
      <c r="K59" s="46">
        <f>ROUND(I59*J59,0)</f>
        <v>4685792</v>
      </c>
      <c r="L59" s="46">
        <v>217635</v>
      </c>
      <c r="M59" s="90">
        <v>205020</v>
      </c>
      <c r="N59" s="46">
        <f>ROUND(I59*M59,0)</f>
        <v>4945082</v>
      </c>
      <c r="O59" s="100">
        <v>1</v>
      </c>
      <c r="P59" s="46"/>
      <c r="Q59" s="46">
        <f>ROUND(I59*P59,0)</f>
        <v>0</v>
      </c>
      <c r="R59" s="46"/>
      <c r="S59" s="46">
        <f>ROUND(I59*R59,0)</f>
        <v>0</v>
      </c>
      <c r="T59" s="46"/>
      <c r="U59" s="46">
        <f>ROUND(I59*T59,0)</f>
        <v>0</v>
      </c>
      <c r="V59" s="100"/>
      <c r="W59" s="100"/>
      <c r="X59" s="46">
        <f>ROUND((M59+P59+R59+T59)*(W59+V59),0)</f>
        <v>0</v>
      </c>
      <c r="Y59" s="90">
        <f>M59+P59+R59+T59+X59</f>
        <v>205020</v>
      </c>
      <c r="Z59" s="46">
        <f>M59-J59</f>
        <v>10750</v>
      </c>
      <c r="AA59" s="46">
        <f>ROUND(I59*Z59,0)</f>
        <v>259290</v>
      </c>
      <c r="AB59" s="46">
        <f>Y59-J59</f>
        <v>10750</v>
      </c>
      <c r="AC59" s="46">
        <f>ROUND(I59*AB59,0)</f>
        <v>259290</v>
      </c>
      <c r="AD59" s="46">
        <f>ROUND(I59*Y59,0)</f>
        <v>4945082</v>
      </c>
    </row>
    <row r="60" spans="1:30" ht="60" hidden="1">
      <c r="A60" s="63"/>
      <c r="B60" s="94" t="str">
        <f>'Công trình'!C41</f>
        <v>BB.46032</v>
      </c>
      <c r="C60" s="100"/>
      <c r="D60" s="70"/>
      <c r="E60" s="94" t="str">
        <f>'Công trình'!D41</f>
        <v>Lắp đặt ống nhựa HDPE đường kính 140mm, PN8 bằng phương pháp hàn gia nhiệt, chiều dày 6,7mm</v>
      </c>
      <c r="F60" s="69"/>
      <c r="G60" s="13">
        <v>1</v>
      </c>
      <c r="H60" s="49"/>
      <c r="I60" s="65">
        <f>'Hao phí vật tư'!K189</f>
        <v>24.12</v>
      </c>
      <c r="J60" s="46"/>
      <c r="K60" s="90">
        <f>ROUND(I60*J59,2)</f>
        <v>4685792.4</v>
      </c>
      <c r="L60" s="46"/>
      <c r="M60" s="46"/>
      <c r="N60" s="90">
        <f>ROUND(I60*M59,2)</f>
        <v>4945082.4</v>
      </c>
      <c r="O60" s="100"/>
      <c r="P60" s="46"/>
      <c r="Q60" s="90">
        <f>ROUND(I60*P59,2)</f>
        <v>0</v>
      </c>
      <c r="R60" s="46"/>
      <c r="S60" s="90">
        <f>ROUND(I60*R59,2)</f>
        <v>0</v>
      </c>
      <c r="T60" s="46"/>
      <c r="U60" s="90">
        <f>ROUND(I60*T59,2)</f>
        <v>0</v>
      </c>
      <c r="V60" s="100"/>
      <c r="W60" s="100"/>
      <c r="X60" s="46"/>
      <c r="Y60" s="46"/>
      <c r="Z60" s="46"/>
      <c r="AA60" s="90">
        <f>ROUND(I60*Z59,2)</f>
        <v>259290</v>
      </c>
      <c r="AB60" s="46"/>
      <c r="AC60" s="90">
        <f>ROUND(I60*AB59,2)</f>
        <v>259290</v>
      </c>
      <c r="AD60" s="90">
        <f>ROUND(I60*Y59,2)</f>
        <v>4945082.4</v>
      </c>
    </row>
    <row r="61" spans="1:30" ht="15">
      <c r="A61" s="63">
        <v>16</v>
      </c>
      <c r="B61" s="9" t="s">
        <v>265</v>
      </c>
      <c r="C61" s="100">
        <v>41</v>
      </c>
      <c r="D61" s="70">
        <v>0</v>
      </c>
      <c r="E61" s="49" t="s">
        <v>130</v>
      </c>
      <c r="F61" s="69" t="s">
        <v>549</v>
      </c>
      <c r="G61" s="100"/>
      <c r="H61" s="49"/>
      <c r="I61" s="19">
        <f>SUM(I62:I62)</f>
        <v>0.6291</v>
      </c>
      <c r="J61" s="46">
        <v>70000</v>
      </c>
      <c r="K61" s="46">
        <f>ROUND(I61*J61,0)</f>
        <v>44037</v>
      </c>
      <c r="L61" s="46"/>
      <c r="M61" s="46">
        <f>70000</f>
        <v>70000</v>
      </c>
      <c r="N61" s="46">
        <f>ROUND(I61*M61,0)</f>
        <v>44037</v>
      </c>
      <c r="O61" s="100">
        <v>1</v>
      </c>
      <c r="P61" s="46"/>
      <c r="Q61" s="46">
        <f>ROUND(I61*P61,0)</f>
        <v>0</v>
      </c>
      <c r="R61" s="46"/>
      <c r="S61" s="46">
        <f>ROUND(I61*R61,0)</f>
        <v>0</v>
      </c>
      <c r="T61" s="46"/>
      <c r="U61" s="46">
        <f>ROUND(I61*T61,0)</f>
        <v>0</v>
      </c>
      <c r="V61" s="100"/>
      <c r="W61" s="100"/>
      <c r="X61" s="46">
        <f>ROUND((M61+P61+R61+T61)*(W61+V61),0)</f>
        <v>0</v>
      </c>
      <c r="Y61" s="46">
        <f>M61+P61+R61+T61+X61</f>
        <v>70000</v>
      </c>
      <c r="Z61" s="46">
        <f>M61-J61</f>
        <v>0</v>
      </c>
      <c r="AA61" s="46">
        <f>ROUND(I61*Z61,0)</f>
        <v>0</v>
      </c>
      <c r="AB61" s="46">
        <f>Y61-J61</f>
        <v>0</v>
      </c>
      <c r="AC61" s="46">
        <f>ROUND(I61*AB61,0)</f>
        <v>0</v>
      </c>
      <c r="AD61" s="46">
        <f>ROUND(I61*Y61,0)</f>
        <v>44037</v>
      </c>
    </row>
    <row r="62" spans="1:30" ht="30" hidden="1">
      <c r="A62" s="63"/>
      <c r="B62" s="94" t="str">
        <f>'Công trình'!C25</f>
        <v>AI.11121</v>
      </c>
      <c r="C62" s="100"/>
      <c r="D62" s="70"/>
      <c r="E62" s="94" t="str">
        <f>'Công trình'!D25</f>
        <v>Gia công vì kèo thép hình khẩu độ nhỏ, khẩu độ ≤9m</v>
      </c>
      <c r="F62" s="69"/>
      <c r="G62" s="13">
        <v>1</v>
      </c>
      <c r="H62" s="49"/>
      <c r="I62" s="65">
        <f>'Hao phí vật tư'!K106</f>
        <v>0.6291</v>
      </c>
      <c r="J62" s="46"/>
      <c r="K62" s="90">
        <f>ROUND(I62*J61,2)</f>
        <v>44037</v>
      </c>
      <c r="L62" s="46"/>
      <c r="M62" s="46"/>
      <c r="N62" s="90">
        <f>ROUND(I62*M61,2)</f>
        <v>44037</v>
      </c>
      <c r="O62" s="100"/>
      <c r="P62" s="46"/>
      <c r="Q62" s="90">
        <f>ROUND(I62*P61,2)</f>
        <v>0</v>
      </c>
      <c r="R62" s="46"/>
      <c r="S62" s="90">
        <f>ROUND(I62*R61,2)</f>
        <v>0</v>
      </c>
      <c r="T62" s="46"/>
      <c r="U62" s="90">
        <f>ROUND(I62*T61,2)</f>
        <v>0</v>
      </c>
      <c r="V62" s="100"/>
      <c r="W62" s="100"/>
      <c r="X62" s="46"/>
      <c r="Y62" s="46"/>
      <c r="Z62" s="46"/>
      <c r="AA62" s="90">
        <f>ROUND(I62*Z61,2)</f>
        <v>0</v>
      </c>
      <c r="AB62" s="46"/>
      <c r="AC62" s="90">
        <f>ROUND(I62*AB61,2)</f>
        <v>0</v>
      </c>
      <c r="AD62" s="90">
        <f>ROUND(I62*Y61,2)</f>
        <v>44037</v>
      </c>
    </row>
    <row r="63" spans="1:30" ht="17.25" customHeight="1">
      <c r="A63" s="63">
        <v>17</v>
      </c>
      <c r="B63" s="9" t="s">
        <v>184</v>
      </c>
      <c r="C63" s="100">
        <v>13</v>
      </c>
      <c r="D63" s="70">
        <v>0</v>
      </c>
      <c r="E63" s="49" t="s">
        <v>95</v>
      </c>
      <c r="F63" s="69" t="s">
        <v>150</v>
      </c>
      <c r="G63" s="100"/>
      <c r="H63" s="49" t="s">
        <v>277</v>
      </c>
      <c r="I63" s="19">
        <f>SUM(I64:I68)</f>
        <v>8.5106</v>
      </c>
      <c r="J63" s="46">
        <v>20220</v>
      </c>
      <c r="K63" s="46">
        <f>ROUND(I63*J63,0)</f>
        <v>172084</v>
      </c>
      <c r="L63" s="46">
        <v>23100</v>
      </c>
      <c r="M63" s="90">
        <f>21000</f>
        <v>21000</v>
      </c>
      <c r="N63" s="46">
        <f>ROUND(I63*M63,0)</f>
        <v>178723</v>
      </c>
      <c r="O63" s="100">
        <v>1</v>
      </c>
      <c r="P63" s="46"/>
      <c r="Q63" s="46">
        <f>ROUND(I63*P63,0)</f>
        <v>0</v>
      </c>
      <c r="R63" s="46"/>
      <c r="S63" s="46">
        <f>ROUND(I63*R63,0)</f>
        <v>0</v>
      </c>
      <c r="T63" s="46"/>
      <c r="U63" s="46">
        <f>ROUND(I63*T63,0)</f>
        <v>0</v>
      </c>
      <c r="V63" s="100"/>
      <c r="W63" s="100"/>
      <c r="X63" s="46">
        <f>ROUND((M63+P63+R63+T63)*(W63+V63),0)</f>
        <v>0</v>
      </c>
      <c r="Y63" s="90">
        <f>M63+P63+R63+T63+X63</f>
        <v>21000</v>
      </c>
      <c r="Z63" s="46">
        <f>M63-J63</f>
        <v>780</v>
      </c>
      <c r="AA63" s="46">
        <f>ROUND(I63*Z63,0)</f>
        <v>6638</v>
      </c>
      <c r="AB63" s="46">
        <f>Y63-J63</f>
        <v>780</v>
      </c>
      <c r="AC63" s="46">
        <f>ROUND(I63*AB63,0)</f>
        <v>6638</v>
      </c>
      <c r="AD63" s="46">
        <f>ROUND(I63*Y63,0)</f>
        <v>178723</v>
      </c>
    </row>
    <row r="64" spans="1:30" ht="30" hidden="1">
      <c r="A64" s="63"/>
      <c r="B64" s="94" t="str">
        <f>'Công trình'!C15</f>
        <v>AF.61120</v>
      </c>
      <c r="C64" s="100"/>
      <c r="D64" s="70"/>
      <c r="E64" s="94" t="str">
        <f>'Công trình'!D15</f>
        <v>Lắp dựng cốt thép móng, ĐK ≤18mm</v>
      </c>
      <c r="F64" s="69"/>
      <c r="G64" s="13">
        <v>1</v>
      </c>
      <c r="H64" s="49"/>
      <c r="I64" s="65">
        <f>'Hao phí vật tư'!K46</f>
        <v>1.3405</v>
      </c>
      <c r="J64" s="46"/>
      <c r="K64" s="90">
        <f>ROUND(I64*J63,2)</f>
        <v>27104.91</v>
      </c>
      <c r="L64" s="46"/>
      <c r="M64" s="46"/>
      <c r="N64" s="90">
        <f>ROUND(I64*M63,2)</f>
        <v>28150.5</v>
      </c>
      <c r="O64" s="100"/>
      <c r="P64" s="46"/>
      <c r="Q64" s="90">
        <f>ROUND(I64*P63,2)</f>
        <v>0</v>
      </c>
      <c r="R64" s="46"/>
      <c r="S64" s="90">
        <f>ROUND(I64*R63,2)</f>
        <v>0</v>
      </c>
      <c r="T64" s="46"/>
      <c r="U64" s="90">
        <f>ROUND(I64*T63,2)</f>
        <v>0</v>
      </c>
      <c r="V64" s="100"/>
      <c r="W64" s="100"/>
      <c r="X64" s="46"/>
      <c r="Y64" s="46"/>
      <c r="Z64" s="46"/>
      <c r="AA64" s="90">
        <f>ROUND(I64*Z63,2)</f>
        <v>1045.59</v>
      </c>
      <c r="AB64" s="46"/>
      <c r="AC64" s="90">
        <f>ROUND(I64*AB63,2)</f>
        <v>1045.59</v>
      </c>
      <c r="AD64" s="90">
        <f>ROUND(I64*Y63,2)</f>
        <v>28150.5</v>
      </c>
    </row>
    <row r="65" spans="1:30" ht="45" hidden="1">
      <c r="A65" s="63"/>
      <c r="B65" s="94" t="str">
        <f>'Công trình'!C23</f>
        <v>AF.61422</v>
      </c>
      <c r="C65" s="100"/>
      <c r="D65" s="70"/>
      <c r="E65" s="94" t="str">
        <f>'Công trình'!D23</f>
        <v>Lắp dựng cốt thép cột, trụ, ĐK ≤18mm, chiều cao ≤28m</v>
      </c>
      <c r="F65" s="69"/>
      <c r="G65" s="13">
        <v>1</v>
      </c>
      <c r="H65" s="49"/>
      <c r="I65" s="65">
        <f>'Hao phí vật tư'!K89</f>
        <v>2.0066</v>
      </c>
      <c r="J65" s="46"/>
      <c r="K65" s="90">
        <f>ROUND(I65*J63,2)</f>
        <v>40573.45</v>
      </c>
      <c r="L65" s="46"/>
      <c r="M65" s="46"/>
      <c r="N65" s="90">
        <f>ROUND(I65*M63,2)</f>
        <v>42138.6</v>
      </c>
      <c r="O65" s="100"/>
      <c r="P65" s="46"/>
      <c r="Q65" s="90">
        <f>ROUND(I65*P63,2)</f>
        <v>0</v>
      </c>
      <c r="R65" s="46"/>
      <c r="S65" s="90">
        <f>ROUND(I65*R63,2)</f>
        <v>0</v>
      </c>
      <c r="T65" s="46"/>
      <c r="U65" s="90">
        <f>ROUND(I65*T63,2)</f>
        <v>0</v>
      </c>
      <c r="V65" s="100"/>
      <c r="W65" s="100"/>
      <c r="X65" s="46"/>
      <c r="Y65" s="46"/>
      <c r="Z65" s="46"/>
      <c r="AA65" s="90">
        <f>ROUND(I65*Z63,2)</f>
        <v>1565.15</v>
      </c>
      <c r="AB65" s="46"/>
      <c r="AC65" s="90">
        <f>ROUND(I65*AB63,2)</f>
        <v>1565.15</v>
      </c>
      <c r="AD65" s="90">
        <f>ROUND(I65*Y63,2)</f>
        <v>42138.6</v>
      </c>
    </row>
    <row r="66" spans="1:30" ht="30" hidden="1">
      <c r="A66" s="63"/>
      <c r="B66" s="94" t="str">
        <f>'Công trình'!C25</f>
        <v>AI.11121</v>
      </c>
      <c r="C66" s="100"/>
      <c r="D66" s="70"/>
      <c r="E66" s="94" t="str">
        <f>'Công trình'!D25</f>
        <v>Gia công vì kèo thép hình khẩu độ nhỏ, khẩu độ ≤9m</v>
      </c>
      <c r="F66" s="69"/>
      <c r="G66" s="13">
        <v>1</v>
      </c>
      <c r="H66" s="49"/>
      <c r="I66" s="65">
        <f>'Hao phí vật tư'!K103</f>
        <v>3.467</v>
      </c>
      <c r="J66" s="46"/>
      <c r="K66" s="90">
        <f>ROUND(I66*J63,2)</f>
        <v>70102.74</v>
      </c>
      <c r="L66" s="46"/>
      <c r="M66" s="46"/>
      <c r="N66" s="90">
        <f>ROUND(I66*M63,2)</f>
        <v>72807</v>
      </c>
      <c r="O66" s="100"/>
      <c r="P66" s="46"/>
      <c r="Q66" s="90">
        <f>ROUND(I66*P63,2)</f>
        <v>0</v>
      </c>
      <c r="R66" s="46"/>
      <c r="S66" s="90">
        <f>ROUND(I66*R63,2)</f>
        <v>0</v>
      </c>
      <c r="T66" s="46"/>
      <c r="U66" s="90">
        <f>ROUND(I66*T63,2)</f>
        <v>0</v>
      </c>
      <c r="V66" s="100"/>
      <c r="W66" s="100"/>
      <c r="X66" s="46"/>
      <c r="Y66" s="46"/>
      <c r="Z66" s="46"/>
      <c r="AA66" s="90">
        <f>ROUND(I66*Z63,2)</f>
        <v>2704.26</v>
      </c>
      <c r="AB66" s="46"/>
      <c r="AC66" s="90">
        <f>ROUND(I66*AB63,2)</f>
        <v>2704.26</v>
      </c>
      <c r="AD66" s="90">
        <f>ROUND(I66*Y63,2)</f>
        <v>72807</v>
      </c>
    </row>
    <row r="67" spans="1:30" ht="30" hidden="1">
      <c r="A67" s="63"/>
      <c r="B67" s="94" t="str">
        <f>'Công trình'!C27</f>
        <v>AI.61121</v>
      </c>
      <c r="C67" s="100"/>
      <c r="D67" s="70"/>
      <c r="E67" s="94" t="str">
        <f>'Công trình'!D27</f>
        <v>Lắp vì kèo thép khẩu độ ≤18m</v>
      </c>
      <c r="F67" s="69"/>
      <c r="G67" s="13">
        <v>1</v>
      </c>
      <c r="H67" s="49"/>
      <c r="I67" s="65">
        <f>'Hao phí vật tư'!K122</f>
        <v>1.3118</v>
      </c>
      <c r="J67" s="46"/>
      <c r="K67" s="90">
        <f>ROUND(I67*J63,2)</f>
        <v>26524.6</v>
      </c>
      <c r="L67" s="46"/>
      <c r="M67" s="46"/>
      <c r="N67" s="90">
        <f>ROUND(I67*M63,2)</f>
        <v>27547.8</v>
      </c>
      <c r="O67" s="100"/>
      <c r="P67" s="46"/>
      <c r="Q67" s="90">
        <f>ROUND(I67*P63,2)</f>
        <v>0</v>
      </c>
      <c r="R67" s="46"/>
      <c r="S67" s="90">
        <f>ROUND(I67*R63,2)</f>
        <v>0</v>
      </c>
      <c r="T67" s="46"/>
      <c r="U67" s="90">
        <f>ROUND(I67*T63,2)</f>
        <v>0</v>
      </c>
      <c r="V67" s="100"/>
      <c r="W67" s="100"/>
      <c r="X67" s="46"/>
      <c r="Y67" s="46"/>
      <c r="Z67" s="46"/>
      <c r="AA67" s="90">
        <f>ROUND(I67*Z63,2)</f>
        <v>1023.2</v>
      </c>
      <c r="AB67" s="46"/>
      <c r="AC67" s="90">
        <f>ROUND(I67*AB63,2)</f>
        <v>1023.2</v>
      </c>
      <c r="AD67" s="90">
        <f>ROUND(I67*Y63,2)</f>
        <v>27547.8</v>
      </c>
    </row>
    <row r="68" spans="1:30" ht="30" hidden="1">
      <c r="A68" s="63"/>
      <c r="B68" s="94" t="str">
        <f>'Công trình'!C39</f>
        <v>AF.61120</v>
      </c>
      <c r="C68" s="100"/>
      <c r="D68" s="70"/>
      <c r="E68" s="94" t="str">
        <f>'Công trình'!D39</f>
        <v>Lắp dựng cốt thép móng, ĐK ≤18mm</v>
      </c>
      <c r="F68" s="69"/>
      <c r="G68" s="13">
        <v>1</v>
      </c>
      <c r="H68" s="49"/>
      <c r="I68" s="65">
        <f>'Hao phí vật tư'!K179</f>
        <v>0.3847</v>
      </c>
      <c r="J68" s="46"/>
      <c r="K68" s="90">
        <f>ROUND(I68*J63,2)</f>
        <v>7778.63</v>
      </c>
      <c r="L68" s="46"/>
      <c r="M68" s="46"/>
      <c r="N68" s="90">
        <f>ROUND(I68*M63,2)</f>
        <v>8078.7</v>
      </c>
      <c r="O68" s="100"/>
      <c r="P68" s="46"/>
      <c r="Q68" s="90">
        <f>ROUND(I68*P63,2)</f>
        <v>0</v>
      </c>
      <c r="R68" s="46"/>
      <c r="S68" s="90">
        <f>ROUND(I68*R63,2)</f>
        <v>0</v>
      </c>
      <c r="T68" s="46"/>
      <c r="U68" s="90">
        <f>ROUND(I68*T63,2)</f>
        <v>0</v>
      </c>
      <c r="V68" s="100"/>
      <c r="W68" s="100"/>
      <c r="X68" s="46"/>
      <c r="Y68" s="46"/>
      <c r="Z68" s="46"/>
      <c r="AA68" s="90">
        <f>ROUND(I68*Z63,2)</f>
        <v>300.07</v>
      </c>
      <c r="AB68" s="46"/>
      <c r="AC68" s="90">
        <f>ROUND(I68*AB63,2)</f>
        <v>300.07</v>
      </c>
      <c r="AD68" s="90">
        <f>ROUND(I68*Y63,2)</f>
        <v>8078.7</v>
      </c>
    </row>
    <row r="69" spans="1:30" ht="16.5" customHeight="1">
      <c r="A69" s="63">
        <v>18</v>
      </c>
      <c r="B69" s="9" t="s">
        <v>42</v>
      </c>
      <c r="C69" s="100">
        <v>14</v>
      </c>
      <c r="D69" s="70">
        <v>0</v>
      </c>
      <c r="E69" s="49" t="s">
        <v>579</v>
      </c>
      <c r="F69" s="69" t="s">
        <v>150</v>
      </c>
      <c r="G69" s="100"/>
      <c r="H69" s="49" t="s">
        <v>463</v>
      </c>
      <c r="I69" s="19">
        <f>SUM(I70:I71)</f>
        <v>179.14929999999998</v>
      </c>
      <c r="J69" s="46">
        <v>13136</v>
      </c>
      <c r="K69" s="46">
        <f>ROUND(I69*J69,0)</f>
        <v>2353305</v>
      </c>
      <c r="L69" s="46">
        <v>20060</v>
      </c>
      <c r="M69" s="90">
        <f>18236</f>
        <v>18236</v>
      </c>
      <c r="N69" s="46">
        <f>ROUND(I69*M69,0)</f>
        <v>3266967</v>
      </c>
      <c r="O69" s="100">
        <v>1</v>
      </c>
      <c r="P69" s="46"/>
      <c r="Q69" s="46">
        <f>ROUND(I69*P69,0)</f>
        <v>0</v>
      </c>
      <c r="R69" s="46"/>
      <c r="S69" s="46">
        <f>ROUND(I69*R69,0)</f>
        <v>0</v>
      </c>
      <c r="T69" s="46"/>
      <c r="U69" s="46">
        <f>ROUND(I69*T69,0)</f>
        <v>0</v>
      </c>
      <c r="V69" s="100"/>
      <c r="W69" s="100"/>
      <c r="X69" s="46">
        <f>ROUND((M69+P69+R69+T69)*(W69+V69),0)</f>
        <v>0</v>
      </c>
      <c r="Y69" s="90">
        <f>M69+P69+R69+T69+X69</f>
        <v>18236</v>
      </c>
      <c r="Z69" s="46">
        <f>M69-J69</f>
        <v>5100</v>
      </c>
      <c r="AA69" s="46">
        <f>ROUND(I69*Z69,0)</f>
        <v>913661</v>
      </c>
      <c r="AB69" s="46">
        <f>Y69-J69</f>
        <v>5100</v>
      </c>
      <c r="AC69" s="46">
        <f>ROUND(I69*AB69,0)</f>
        <v>913661</v>
      </c>
      <c r="AD69" s="46">
        <f>ROUND(I69*Y69,0)</f>
        <v>3266967</v>
      </c>
    </row>
    <row r="70" spans="1:30" ht="30" hidden="1">
      <c r="A70" s="63"/>
      <c r="B70" s="94" t="str">
        <f>'Công trình'!C25</f>
        <v>AI.11121</v>
      </c>
      <c r="C70" s="100"/>
      <c r="D70" s="70"/>
      <c r="E70" s="94" t="str">
        <f>'Công trình'!D25</f>
        <v>Gia công vì kèo thép hình khẩu độ nhỏ, khẩu độ ≤9m</v>
      </c>
      <c r="F70" s="69"/>
      <c r="G70" s="13">
        <v>1</v>
      </c>
      <c r="H70" s="49"/>
      <c r="I70" s="65">
        <f>'Hao phí vật tư'!K104</f>
        <v>178.9262</v>
      </c>
      <c r="J70" s="46"/>
      <c r="K70" s="90">
        <f>ROUND(I70*J69,2)</f>
        <v>2350374.56</v>
      </c>
      <c r="L70" s="46"/>
      <c r="M70" s="46"/>
      <c r="N70" s="90">
        <f>ROUND(I70*M69,2)</f>
        <v>3262898.18</v>
      </c>
      <c r="O70" s="100"/>
      <c r="P70" s="46"/>
      <c r="Q70" s="90">
        <f>ROUND(I70*P69,2)</f>
        <v>0</v>
      </c>
      <c r="R70" s="46"/>
      <c r="S70" s="90">
        <f>ROUND(I70*R69,2)</f>
        <v>0</v>
      </c>
      <c r="T70" s="46"/>
      <c r="U70" s="90">
        <f>ROUND(I70*T69,2)</f>
        <v>0</v>
      </c>
      <c r="V70" s="100"/>
      <c r="W70" s="100"/>
      <c r="X70" s="46"/>
      <c r="Y70" s="46"/>
      <c r="Z70" s="46"/>
      <c r="AA70" s="90">
        <f>ROUND(I70*Z69,2)</f>
        <v>912523.62</v>
      </c>
      <c r="AB70" s="46"/>
      <c r="AC70" s="90">
        <f>ROUND(I70*AB69,2)</f>
        <v>912523.62</v>
      </c>
      <c r="AD70" s="90">
        <f>ROUND(I70*Y69,2)</f>
        <v>3262898.18</v>
      </c>
    </row>
    <row r="71" spans="1:30" ht="30" hidden="1">
      <c r="A71" s="63"/>
      <c r="B71" s="94" t="str">
        <f>'Công trình'!C27</f>
        <v>AI.61121</v>
      </c>
      <c r="C71" s="100"/>
      <c r="D71" s="70"/>
      <c r="E71" s="94" t="str">
        <f>'Công trình'!D27</f>
        <v>Lắp vì kèo thép khẩu độ ≤18m</v>
      </c>
      <c r="F71" s="69"/>
      <c r="G71" s="13">
        <v>1</v>
      </c>
      <c r="H71" s="49"/>
      <c r="I71" s="65">
        <f>'Hao phí vật tư'!K117</f>
        <v>0.2231</v>
      </c>
      <c r="J71" s="46"/>
      <c r="K71" s="90">
        <f>ROUND(I71*J69,2)</f>
        <v>2930.64</v>
      </c>
      <c r="L71" s="46"/>
      <c r="M71" s="46"/>
      <c r="N71" s="90">
        <f>ROUND(I71*M69,2)</f>
        <v>4068.45</v>
      </c>
      <c r="O71" s="100"/>
      <c r="P71" s="46"/>
      <c r="Q71" s="90">
        <f>ROUND(I71*P69,2)</f>
        <v>0</v>
      </c>
      <c r="R71" s="46"/>
      <c r="S71" s="90">
        <f>ROUND(I71*R69,2)</f>
        <v>0</v>
      </c>
      <c r="T71" s="46"/>
      <c r="U71" s="90">
        <f>ROUND(I71*T69,2)</f>
        <v>0</v>
      </c>
      <c r="V71" s="100"/>
      <c r="W71" s="100"/>
      <c r="X71" s="46"/>
      <c r="Y71" s="46"/>
      <c r="Z71" s="46"/>
      <c r="AA71" s="90">
        <f>ROUND(I71*Z69,2)</f>
        <v>1137.81</v>
      </c>
      <c r="AB71" s="46"/>
      <c r="AC71" s="90">
        <f>ROUND(I71*AB69,2)</f>
        <v>1137.81</v>
      </c>
      <c r="AD71" s="90">
        <f>ROUND(I71*Y69,2)</f>
        <v>4068.45</v>
      </c>
    </row>
    <row r="72" spans="1:30" ht="15">
      <c r="A72" s="63">
        <v>19</v>
      </c>
      <c r="B72" s="9" t="s">
        <v>85</v>
      </c>
      <c r="C72" s="100">
        <v>16</v>
      </c>
      <c r="D72" s="70">
        <v>0</v>
      </c>
      <c r="E72" s="49" t="s">
        <v>188</v>
      </c>
      <c r="F72" s="69" t="s">
        <v>150</v>
      </c>
      <c r="G72" s="100"/>
      <c r="H72" s="49"/>
      <c r="I72" s="19">
        <f>SUM(I73:I73)</f>
        <v>51.313</v>
      </c>
      <c r="J72" s="46">
        <v>12120</v>
      </c>
      <c r="K72" s="46">
        <f>ROUND(I72*J72,0)</f>
        <v>621914</v>
      </c>
      <c r="L72" s="46"/>
      <c r="M72" s="46">
        <f>12120</f>
        <v>12120</v>
      </c>
      <c r="N72" s="46">
        <f>ROUND(I72*M72,0)</f>
        <v>621914</v>
      </c>
      <c r="O72" s="100">
        <v>1</v>
      </c>
      <c r="P72" s="46"/>
      <c r="Q72" s="46">
        <f>ROUND(I72*P72,0)</f>
        <v>0</v>
      </c>
      <c r="R72" s="46"/>
      <c r="S72" s="46">
        <f>ROUND(I72*R72,0)</f>
        <v>0</v>
      </c>
      <c r="T72" s="46"/>
      <c r="U72" s="46">
        <f>ROUND(I72*T72,0)</f>
        <v>0</v>
      </c>
      <c r="V72" s="100"/>
      <c r="W72" s="100"/>
      <c r="X72" s="46">
        <f>ROUND((M72+P72+R72+T72)*(W72+V72),0)</f>
        <v>0</v>
      </c>
      <c r="Y72" s="46">
        <f>M72+P72+R72+T72+X72</f>
        <v>12120</v>
      </c>
      <c r="Z72" s="46">
        <f>M72-J72</f>
        <v>0</v>
      </c>
      <c r="AA72" s="46">
        <f>ROUND(I72*Z72,0)</f>
        <v>0</v>
      </c>
      <c r="AB72" s="46">
        <f>Y72-J72</f>
        <v>0</v>
      </c>
      <c r="AC72" s="46">
        <f>ROUND(I72*AB72,0)</f>
        <v>0</v>
      </c>
      <c r="AD72" s="46">
        <f>ROUND(I72*Y72,0)</f>
        <v>621914</v>
      </c>
    </row>
    <row r="73" spans="1:30" ht="30" hidden="1">
      <c r="A73" s="63"/>
      <c r="B73" s="94" t="str">
        <f>'Công trình'!C25</f>
        <v>AI.11121</v>
      </c>
      <c r="C73" s="100"/>
      <c r="D73" s="70"/>
      <c r="E73" s="94" t="str">
        <f>'Công trình'!D25</f>
        <v>Gia công vì kèo thép hình khẩu độ nhỏ, khẩu độ ≤9m</v>
      </c>
      <c r="F73" s="69"/>
      <c r="G73" s="13">
        <v>1</v>
      </c>
      <c r="H73" s="49"/>
      <c r="I73" s="65">
        <f>'Hao phí vật tư'!K105</f>
        <v>51.313</v>
      </c>
      <c r="J73" s="46"/>
      <c r="K73" s="90">
        <f>ROUND(I73*J72,2)</f>
        <v>621913.56</v>
      </c>
      <c r="L73" s="46"/>
      <c r="M73" s="46"/>
      <c r="N73" s="90">
        <f>ROUND(I73*M72,2)</f>
        <v>621913.56</v>
      </c>
      <c r="O73" s="100"/>
      <c r="P73" s="46"/>
      <c r="Q73" s="90">
        <f>ROUND(I73*P72,2)</f>
        <v>0</v>
      </c>
      <c r="R73" s="46"/>
      <c r="S73" s="90">
        <f>ROUND(I73*R72,2)</f>
        <v>0</v>
      </c>
      <c r="T73" s="46"/>
      <c r="U73" s="90">
        <f>ROUND(I73*T72,2)</f>
        <v>0</v>
      </c>
      <c r="V73" s="100"/>
      <c r="W73" s="100"/>
      <c r="X73" s="46"/>
      <c r="Y73" s="46"/>
      <c r="Z73" s="46"/>
      <c r="AA73" s="90">
        <f>ROUND(I73*Z72,2)</f>
        <v>0</v>
      </c>
      <c r="AB73" s="46"/>
      <c r="AC73" s="90">
        <f>ROUND(I73*AB72,2)</f>
        <v>0</v>
      </c>
      <c r="AD73" s="90">
        <f>ROUND(I73*Y72,2)</f>
        <v>621913.56</v>
      </c>
    </row>
    <row r="74" spans="1:30" ht="60">
      <c r="A74" s="63">
        <v>20</v>
      </c>
      <c r="B74" s="9" t="s">
        <v>600</v>
      </c>
      <c r="C74" s="100">
        <v>15</v>
      </c>
      <c r="D74" s="70">
        <v>0</v>
      </c>
      <c r="E74" s="49" t="s">
        <v>594</v>
      </c>
      <c r="F74" s="69" t="s">
        <v>150</v>
      </c>
      <c r="G74" s="100"/>
      <c r="H74" s="49" t="s">
        <v>26</v>
      </c>
      <c r="I74" s="19">
        <f>SUM(I75:I75)</f>
        <v>92.7615</v>
      </c>
      <c r="J74" s="46">
        <v>11086</v>
      </c>
      <c r="K74" s="46">
        <f>ROUND(I74*J74,0)</f>
        <v>1028354</v>
      </c>
      <c r="L74" s="46">
        <v>20555</v>
      </c>
      <c r="M74" s="90">
        <f>18686</f>
        <v>18686</v>
      </c>
      <c r="N74" s="46">
        <f>ROUND(I74*M74,0)</f>
        <v>1733341</v>
      </c>
      <c r="O74" s="100">
        <v>1</v>
      </c>
      <c r="P74" s="46"/>
      <c r="Q74" s="46">
        <f>ROUND(I74*P74,0)</f>
        <v>0</v>
      </c>
      <c r="R74" s="46"/>
      <c r="S74" s="46">
        <f>ROUND(I74*R74,0)</f>
        <v>0</v>
      </c>
      <c r="T74" s="46"/>
      <c r="U74" s="46">
        <f>ROUND(I74*T74,0)</f>
        <v>0</v>
      </c>
      <c r="V74" s="100"/>
      <c r="W74" s="100"/>
      <c r="X74" s="46">
        <f>ROUND((M74+P74+R74+T74)*(W74+V74),0)</f>
        <v>0</v>
      </c>
      <c r="Y74" s="90">
        <f>M74+P74+R74+T74+X74</f>
        <v>18686</v>
      </c>
      <c r="Z74" s="46">
        <f>M74-J74</f>
        <v>7600</v>
      </c>
      <c r="AA74" s="46">
        <f>ROUND(I74*Z74,0)</f>
        <v>704987</v>
      </c>
      <c r="AB74" s="46">
        <f>Y74-J74</f>
        <v>7600</v>
      </c>
      <c r="AC74" s="46">
        <f>ROUND(I74*AB74,0)</f>
        <v>704987</v>
      </c>
      <c r="AD74" s="46">
        <f>ROUND(I74*Y74,0)</f>
        <v>1733341</v>
      </c>
    </row>
    <row r="75" spans="1:30" ht="45" hidden="1">
      <c r="A75" s="63"/>
      <c r="B75" s="94" t="str">
        <f>'Công trình'!C21</f>
        <v>AF.61412</v>
      </c>
      <c r="C75" s="100"/>
      <c r="D75" s="70"/>
      <c r="E75" s="94" t="str">
        <f>'Công trình'!D21</f>
        <v>Lắp dựng cốt thép cột, trụ, ĐK ≤10mm, chiều cao ≤28m</v>
      </c>
      <c r="F75" s="69"/>
      <c r="G75" s="13">
        <v>1</v>
      </c>
      <c r="H75" s="49"/>
      <c r="I75" s="65">
        <f>'Hao phí vật tư'!K79</f>
        <v>92.7615</v>
      </c>
      <c r="J75" s="46"/>
      <c r="K75" s="90">
        <f>ROUND(I75*J74,2)</f>
        <v>1028353.99</v>
      </c>
      <c r="L75" s="46"/>
      <c r="M75" s="46"/>
      <c r="N75" s="90">
        <f>ROUND(I75*M74,2)</f>
        <v>1733341.39</v>
      </c>
      <c r="O75" s="100"/>
      <c r="P75" s="46"/>
      <c r="Q75" s="90">
        <f>ROUND(I75*P74,2)</f>
        <v>0</v>
      </c>
      <c r="R75" s="46"/>
      <c r="S75" s="90">
        <f>ROUND(I75*R74,2)</f>
        <v>0</v>
      </c>
      <c r="T75" s="46"/>
      <c r="U75" s="90">
        <f>ROUND(I75*T74,2)</f>
        <v>0</v>
      </c>
      <c r="V75" s="100"/>
      <c r="W75" s="100"/>
      <c r="X75" s="46"/>
      <c r="Y75" s="46"/>
      <c r="Z75" s="46"/>
      <c r="AA75" s="90">
        <f>ROUND(I75*Z74,2)</f>
        <v>704987.4</v>
      </c>
      <c r="AB75" s="46"/>
      <c r="AC75" s="90">
        <f>ROUND(I75*AB74,2)</f>
        <v>704987.4</v>
      </c>
      <c r="AD75" s="90">
        <f>ROUND(I75*Y74,2)</f>
        <v>1733341.39</v>
      </c>
    </row>
    <row r="76" spans="1:30" ht="60">
      <c r="A76" s="63">
        <v>21</v>
      </c>
      <c r="B76" s="9" t="s">
        <v>363</v>
      </c>
      <c r="C76" s="100">
        <v>45</v>
      </c>
      <c r="D76" s="70">
        <v>0</v>
      </c>
      <c r="E76" s="49" t="s">
        <v>540</v>
      </c>
      <c r="F76" s="69" t="s">
        <v>150</v>
      </c>
      <c r="G76" s="100"/>
      <c r="H76" s="49" t="s">
        <v>316</v>
      </c>
      <c r="I76" s="19">
        <f>SUM(I77:I77)</f>
        <v>36.582</v>
      </c>
      <c r="J76" s="46">
        <v>11086</v>
      </c>
      <c r="K76" s="46">
        <f>ROUND(I76*J76,0)</f>
        <v>405548</v>
      </c>
      <c r="L76" s="46">
        <v>20610</v>
      </c>
      <c r="M76" s="90">
        <f>18736</f>
        <v>18736</v>
      </c>
      <c r="N76" s="46">
        <f>ROUND(I76*M76,0)</f>
        <v>685400</v>
      </c>
      <c r="O76" s="100">
        <v>1</v>
      </c>
      <c r="P76" s="46"/>
      <c r="Q76" s="46">
        <f>ROUND(I76*P76,0)</f>
        <v>0</v>
      </c>
      <c r="R76" s="46"/>
      <c r="S76" s="46">
        <f>ROUND(I76*R76,0)</f>
        <v>0</v>
      </c>
      <c r="T76" s="46"/>
      <c r="U76" s="46">
        <f>ROUND(I76*T76,0)</f>
        <v>0</v>
      </c>
      <c r="V76" s="100"/>
      <c r="W76" s="100"/>
      <c r="X76" s="46">
        <f>ROUND((M76+P76+R76+T76)*(W76+V76),0)</f>
        <v>0</v>
      </c>
      <c r="Y76" s="90">
        <f>M76+P76+R76+T76+X76</f>
        <v>18736</v>
      </c>
      <c r="Z76" s="46">
        <f>M76-J76</f>
        <v>7650</v>
      </c>
      <c r="AA76" s="46">
        <f>ROUND(I76*Z76,0)</f>
        <v>279852</v>
      </c>
      <c r="AB76" s="46">
        <f>Y76-J76</f>
        <v>7650</v>
      </c>
      <c r="AC76" s="46">
        <f>ROUND(I76*AB76,0)</f>
        <v>279852</v>
      </c>
      <c r="AD76" s="46">
        <f>ROUND(I76*Y76,0)</f>
        <v>685400</v>
      </c>
    </row>
    <row r="77" spans="1:30" ht="30" hidden="1">
      <c r="A77" s="63"/>
      <c r="B77" s="94" t="str">
        <f>'Công trình'!C37</f>
        <v>AF.61110</v>
      </c>
      <c r="C77" s="100"/>
      <c r="D77" s="70"/>
      <c r="E77" s="94" t="str">
        <f>'Công trình'!D37</f>
        <v>Lắp dựng cốt thép móng, ĐK ≤10mm</v>
      </c>
      <c r="F77" s="69"/>
      <c r="G77" s="13">
        <v>1</v>
      </c>
      <c r="H77" s="49"/>
      <c r="I77" s="65">
        <f>'Hao phí vật tư'!K172</f>
        <v>36.582</v>
      </c>
      <c r="J77" s="46"/>
      <c r="K77" s="90">
        <f>ROUND(I77*J76,2)</f>
        <v>405548.05</v>
      </c>
      <c r="L77" s="46"/>
      <c r="M77" s="46"/>
      <c r="N77" s="90">
        <f>ROUND(I77*M76,2)</f>
        <v>685400.35</v>
      </c>
      <c r="O77" s="100"/>
      <c r="P77" s="46"/>
      <c r="Q77" s="90">
        <f>ROUND(I77*P76,2)</f>
        <v>0</v>
      </c>
      <c r="R77" s="46"/>
      <c r="S77" s="90">
        <f>ROUND(I77*R76,2)</f>
        <v>0</v>
      </c>
      <c r="T77" s="46"/>
      <c r="U77" s="90">
        <f>ROUND(I77*T76,2)</f>
        <v>0</v>
      </c>
      <c r="V77" s="100"/>
      <c r="W77" s="100"/>
      <c r="X77" s="46"/>
      <c r="Y77" s="46"/>
      <c r="Z77" s="46"/>
      <c r="AA77" s="90">
        <f>ROUND(I77*Z76,2)</f>
        <v>279852.3</v>
      </c>
      <c r="AB77" s="46"/>
      <c r="AC77" s="90">
        <f>ROUND(I77*AB76,2)</f>
        <v>279852.3</v>
      </c>
      <c r="AD77" s="90">
        <f>ROUND(I77*Y76,2)</f>
        <v>685400.35</v>
      </c>
    </row>
    <row r="78" spans="1:30" ht="60">
      <c r="A78" s="63">
        <v>22</v>
      </c>
      <c r="B78" s="9" t="s">
        <v>357</v>
      </c>
      <c r="C78" s="100">
        <v>46</v>
      </c>
      <c r="D78" s="70">
        <v>0</v>
      </c>
      <c r="E78" s="49" t="s">
        <v>22</v>
      </c>
      <c r="F78" s="69" t="s">
        <v>150</v>
      </c>
      <c r="G78" s="100"/>
      <c r="H78" s="49" t="s">
        <v>259</v>
      </c>
      <c r="I78" s="19">
        <f>SUM(I79:I81)</f>
        <v>803.862</v>
      </c>
      <c r="J78" s="46">
        <v>11236</v>
      </c>
      <c r="K78" s="46">
        <f>ROUND(I78*J78,0)</f>
        <v>9032193</v>
      </c>
      <c r="L78" s="46">
        <v>19895</v>
      </c>
      <c r="M78" s="90">
        <f>18086</f>
        <v>18086</v>
      </c>
      <c r="N78" s="46">
        <f>ROUND(I78*M78,0)</f>
        <v>14538648</v>
      </c>
      <c r="O78" s="100">
        <v>1</v>
      </c>
      <c r="P78" s="46"/>
      <c r="Q78" s="46">
        <f>ROUND(I78*P78,0)</f>
        <v>0</v>
      </c>
      <c r="R78" s="46"/>
      <c r="S78" s="46">
        <f>ROUND(I78*R78,0)</f>
        <v>0</v>
      </c>
      <c r="T78" s="46"/>
      <c r="U78" s="46">
        <f>ROUND(I78*T78,0)</f>
        <v>0</v>
      </c>
      <c r="V78" s="100"/>
      <c r="W78" s="100"/>
      <c r="X78" s="46">
        <f>ROUND((M78+P78+R78+T78)*(W78+V78),0)</f>
        <v>0</v>
      </c>
      <c r="Y78" s="90">
        <f>M78+P78+R78+T78+X78</f>
        <v>18086</v>
      </c>
      <c r="Z78" s="46">
        <f>M78-J78</f>
        <v>6850</v>
      </c>
      <c r="AA78" s="46">
        <f>ROUND(I78*Z78,0)</f>
        <v>5506455</v>
      </c>
      <c r="AB78" s="46">
        <f>Y78-J78</f>
        <v>6850</v>
      </c>
      <c r="AC78" s="46">
        <f>ROUND(I78*AB78,0)</f>
        <v>5506455</v>
      </c>
      <c r="AD78" s="46">
        <f>ROUND(I78*Y78,0)</f>
        <v>14538648</v>
      </c>
    </row>
    <row r="79" spans="1:30" ht="30" hidden="1">
      <c r="A79" s="63"/>
      <c r="B79" s="94" t="str">
        <f>'Công trình'!C15</f>
        <v>AF.61120</v>
      </c>
      <c r="C79" s="100"/>
      <c r="D79" s="70"/>
      <c r="E79" s="94" t="str">
        <f>'Công trình'!D15</f>
        <v>Lắp dựng cốt thép móng, ĐK ≤18mm</v>
      </c>
      <c r="F79" s="69"/>
      <c r="G79" s="13">
        <v>1</v>
      </c>
      <c r="H79" s="49"/>
      <c r="I79" s="65">
        <f>'Hao phí vật tư'!K48</f>
        <v>294.678</v>
      </c>
      <c r="J79" s="46"/>
      <c r="K79" s="90">
        <f>ROUND(I79*J78,2)</f>
        <v>3311002.01</v>
      </c>
      <c r="L79" s="46"/>
      <c r="M79" s="46"/>
      <c r="N79" s="90">
        <f>ROUND(I79*M78,2)</f>
        <v>5329546.31</v>
      </c>
      <c r="O79" s="100"/>
      <c r="P79" s="46"/>
      <c r="Q79" s="90">
        <f>ROUND(I79*P78,2)</f>
        <v>0</v>
      </c>
      <c r="R79" s="46"/>
      <c r="S79" s="90">
        <f>ROUND(I79*R78,2)</f>
        <v>0</v>
      </c>
      <c r="T79" s="46"/>
      <c r="U79" s="90">
        <f>ROUND(I79*T78,2)</f>
        <v>0</v>
      </c>
      <c r="V79" s="100"/>
      <c r="W79" s="100"/>
      <c r="X79" s="46"/>
      <c r="Y79" s="46"/>
      <c r="Z79" s="46"/>
      <c r="AA79" s="90">
        <f>ROUND(I79*Z78,2)</f>
        <v>2018544.3</v>
      </c>
      <c r="AB79" s="46"/>
      <c r="AC79" s="90">
        <f>ROUND(I79*AB78,2)</f>
        <v>2018544.3</v>
      </c>
      <c r="AD79" s="90">
        <f>ROUND(I79*Y78,2)</f>
        <v>5329546.31</v>
      </c>
    </row>
    <row r="80" spans="1:30" ht="45" hidden="1">
      <c r="A80" s="63"/>
      <c r="B80" s="94" t="str">
        <f>'Công trình'!C23</f>
        <v>AF.61422</v>
      </c>
      <c r="C80" s="100"/>
      <c r="D80" s="70"/>
      <c r="E80" s="94" t="str">
        <f>'Công trình'!D23</f>
        <v>Lắp dựng cốt thép cột, trụ, ĐK ≤18mm, chiều cao ≤28m</v>
      </c>
      <c r="F80" s="69"/>
      <c r="G80" s="13">
        <v>1</v>
      </c>
      <c r="H80" s="49"/>
      <c r="I80" s="65">
        <f>'Hao phí vật tư'!K91</f>
        <v>424.626</v>
      </c>
      <c r="J80" s="46"/>
      <c r="K80" s="90">
        <f>ROUND(I80*J78,2)</f>
        <v>4771097.74</v>
      </c>
      <c r="L80" s="46"/>
      <c r="M80" s="46"/>
      <c r="N80" s="90">
        <f>ROUND(I80*M78,2)</f>
        <v>7679785.84</v>
      </c>
      <c r="O80" s="100"/>
      <c r="P80" s="46"/>
      <c r="Q80" s="90">
        <f>ROUND(I80*P78,2)</f>
        <v>0</v>
      </c>
      <c r="R80" s="46"/>
      <c r="S80" s="90">
        <f>ROUND(I80*R78,2)</f>
        <v>0</v>
      </c>
      <c r="T80" s="46"/>
      <c r="U80" s="90">
        <f>ROUND(I80*T78,2)</f>
        <v>0</v>
      </c>
      <c r="V80" s="100"/>
      <c r="W80" s="100"/>
      <c r="X80" s="46"/>
      <c r="Y80" s="46"/>
      <c r="Z80" s="46"/>
      <c r="AA80" s="90">
        <f>ROUND(I80*Z78,2)</f>
        <v>2908688.1</v>
      </c>
      <c r="AB80" s="46"/>
      <c r="AC80" s="90">
        <f>ROUND(I80*AB78,2)</f>
        <v>2908688.1</v>
      </c>
      <c r="AD80" s="90">
        <f>ROUND(I80*Y78,2)</f>
        <v>7679785.84</v>
      </c>
    </row>
    <row r="81" spans="1:30" ht="30" hidden="1">
      <c r="A81" s="63"/>
      <c r="B81" s="94" t="str">
        <f>'Công trình'!C39</f>
        <v>AF.61120</v>
      </c>
      <c r="C81" s="100"/>
      <c r="D81" s="70"/>
      <c r="E81" s="94" t="str">
        <f>'Công trình'!D39</f>
        <v>Lắp dựng cốt thép móng, ĐK ≤18mm</v>
      </c>
      <c r="F81" s="69"/>
      <c r="G81" s="13">
        <v>1</v>
      </c>
      <c r="H81" s="49"/>
      <c r="I81" s="65">
        <f>'Hao phí vật tư'!K181</f>
        <v>84.558</v>
      </c>
      <c r="J81" s="46"/>
      <c r="K81" s="90">
        <f>ROUND(I81*J78,2)</f>
        <v>950093.69</v>
      </c>
      <c r="L81" s="46"/>
      <c r="M81" s="46"/>
      <c r="N81" s="90">
        <f>ROUND(I81*M78,2)</f>
        <v>1529315.99</v>
      </c>
      <c r="O81" s="100"/>
      <c r="P81" s="46"/>
      <c r="Q81" s="90">
        <f>ROUND(I81*P78,2)</f>
        <v>0</v>
      </c>
      <c r="R81" s="46"/>
      <c r="S81" s="90">
        <f>ROUND(I81*R78,2)</f>
        <v>0</v>
      </c>
      <c r="T81" s="46"/>
      <c r="U81" s="90">
        <f>ROUND(I81*T78,2)</f>
        <v>0</v>
      </c>
      <c r="V81" s="100"/>
      <c r="W81" s="100"/>
      <c r="X81" s="46"/>
      <c r="Y81" s="46"/>
      <c r="Z81" s="46"/>
      <c r="AA81" s="90">
        <f>ROUND(I81*Z78,2)</f>
        <v>579222.3</v>
      </c>
      <c r="AB81" s="46"/>
      <c r="AC81" s="90">
        <f>ROUND(I81*AB78,2)</f>
        <v>579222.3</v>
      </c>
      <c r="AD81" s="90">
        <f>ROUND(I81*Y78,2)</f>
        <v>1529315.99</v>
      </c>
    </row>
    <row r="82" spans="1:30" ht="45">
      <c r="A82" s="63">
        <v>23</v>
      </c>
      <c r="B82" s="9" t="s">
        <v>273</v>
      </c>
      <c r="C82" s="100">
        <v>34</v>
      </c>
      <c r="D82" s="70">
        <v>0</v>
      </c>
      <c r="E82" s="49" t="s">
        <v>416</v>
      </c>
      <c r="F82" s="69" t="s">
        <v>150</v>
      </c>
      <c r="G82" s="100"/>
      <c r="H82" s="49" t="s">
        <v>281</v>
      </c>
      <c r="I82" s="19">
        <f>SUM(I83:I84)</f>
        <v>204.6104</v>
      </c>
      <c r="J82" s="46">
        <v>1176</v>
      </c>
      <c r="K82" s="46">
        <f>ROUND(I82*J82,0)</f>
        <v>240622</v>
      </c>
      <c r="L82" s="46">
        <v>1509</v>
      </c>
      <c r="M82" s="90">
        <f>1372</f>
        <v>1372</v>
      </c>
      <c r="N82" s="46">
        <f>ROUND(I82*M82,0)</f>
        <v>280725</v>
      </c>
      <c r="O82" s="100">
        <v>1</v>
      </c>
      <c r="P82" s="46"/>
      <c r="Q82" s="46">
        <f>ROUND(I82*P82,0)</f>
        <v>0</v>
      </c>
      <c r="R82" s="46"/>
      <c r="S82" s="46">
        <f>ROUND(I82*R82,0)</f>
        <v>0</v>
      </c>
      <c r="T82" s="46"/>
      <c r="U82" s="46">
        <f>ROUND(I82*T82,0)</f>
        <v>0</v>
      </c>
      <c r="V82" s="100"/>
      <c r="W82" s="100"/>
      <c r="X82" s="46">
        <f>ROUND((M82+P82+R82+T82)*(W82+V82),0)</f>
        <v>0</v>
      </c>
      <c r="Y82" s="90">
        <f>M82+P82+R82+T82+X82</f>
        <v>1372</v>
      </c>
      <c r="Z82" s="46">
        <f>M82-J82</f>
        <v>196</v>
      </c>
      <c r="AA82" s="46">
        <f>ROUND(I82*Z82,0)</f>
        <v>40104</v>
      </c>
      <c r="AB82" s="46">
        <f>Y82-J82</f>
        <v>196</v>
      </c>
      <c r="AC82" s="46">
        <f>ROUND(I82*AB82,0)</f>
        <v>40104</v>
      </c>
      <c r="AD82" s="46">
        <f>ROUND(I82*Y82,0)</f>
        <v>280725</v>
      </c>
    </row>
    <row r="83" spans="1:30" ht="60" hidden="1">
      <c r="A83" s="63"/>
      <c r="B83" s="94" t="str">
        <f>'Công trình'!C9</f>
        <v>AF.11110</v>
      </c>
      <c r="C83" s="100"/>
      <c r="D83" s="70"/>
      <c r="E83" s="94" t="str">
        <f>'Công trình'!D9</f>
        <v>Bê tông lót móng SX bằng máy trộn, đổ bằng thủ công, rộng ≤250cm, M100, đá 4x6, PCB30</v>
      </c>
      <c r="F83" s="69"/>
      <c r="G83" s="13">
        <v>1</v>
      </c>
      <c r="H83" s="49"/>
      <c r="I83" s="65">
        <f>'Hao phí vật tư'!K15</f>
        <v>116.3211</v>
      </c>
      <c r="J83" s="46"/>
      <c r="K83" s="90">
        <f>ROUND(I83*J82,2)</f>
        <v>136793.61</v>
      </c>
      <c r="L83" s="46"/>
      <c r="M83" s="46"/>
      <c r="N83" s="90">
        <f>ROUND(I83*M82,2)</f>
        <v>159592.55</v>
      </c>
      <c r="O83" s="100"/>
      <c r="P83" s="46"/>
      <c r="Q83" s="90">
        <f>ROUND(I83*P82,2)</f>
        <v>0</v>
      </c>
      <c r="R83" s="46"/>
      <c r="S83" s="90">
        <f>ROUND(I83*R82,2)</f>
        <v>0</v>
      </c>
      <c r="T83" s="46"/>
      <c r="U83" s="90">
        <f>ROUND(I83*T82,2)</f>
        <v>0</v>
      </c>
      <c r="V83" s="100"/>
      <c r="W83" s="100"/>
      <c r="X83" s="46"/>
      <c r="Y83" s="46"/>
      <c r="Z83" s="46"/>
      <c r="AA83" s="90">
        <f>ROUND(I83*Z82,2)</f>
        <v>22798.94</v>
      </c>
      <c r="AB83" s="46"/>
      <c r="AC83" s="90">
        <f>ROUND(I83*AB82,2)</f>
        <v>22798.94</v>
      </c>
      <c r="AD83" s="90">
        <f>ROUND(I83*Y82,2)</f>
        <v>159592.55</v>
      </c>
    </row>
    <row r="84" spans="1:30" ht="60" hidden="1">
      <c r="A84" s="63"/>
      <c r="B84" s="94" t="str">
        <f>'Công trình'!C31</f>
        <v>AF.11110</v>
      </c>
      <c r="C84" s="100"/>
      <c r="D84" s="70"/>
      <c r="E84" s="94" t="str">
        <f>'Công trình'!D31</f>
        <v>Bê tông lót móng SX bằng máy trộn, đổ bằng thủ công, rộng ≤250cm, M100, đá 4x6, PCB30</v>
      </c>
      <c r="F84" s="69"/>
      <c r="G84" s="13">
        <v>1</v>
      </c>
      <c r="H84" s="49"/>
      <c r="I84" s="65">
        <f>'Hao phí vật tư'!K140</f>
        <v>88.2893</v>
      </c>
      <c r="J84" s="46"/>
      <c r="K84" s="90">
        <f>ROUND(I84*J82,2)</f>
        <v>103828.22</v>
      </c>
      <c r="L84" s="46"/>
      <c r="M84" s="46"/>
      <c r="N84" s="90">
        <f>ROUND(I84*M82,2)</f>
        <v>121132.92</v>
      </c>
      <c r="O84" s="100"/>
      <c r="P84" s="46"/>
      <c r="Q84" s="90">
        <f>ROUND(I84*P82,2)</f>
        <v>0</v>
      </c>
      <c r="R84" s="46"/>
      <c r="S84" s="90">
        <f>ROUND(I84*R82,2)</f>
        <v>0</v>
      </c>
      <c r="T84" s="46"/>
      <c r="U84" s="90">
        <f>ROUND(I84*T82,2)</f>
        <v>0</v>
      </c>
      <c r="V84" s="100"/>
      <c r="W84" s="100"/>
      <c r="X84" s="46"/>
      <c r="Y84" s="46"/>
      <c r="Z84" s="46"/>
      <c r="AA84" s="90">
        <f>ROUND(I84*Z82,2)</f>
        <v>17304.7</v>
      </c>
      <c r="AB84" s="46"/>
      <c r="AC84" s="90">
        <f>ROUND(I84*AB82,2)</f>
        <v>17304.7</v>
      </c>
      <c r="AD84" s="90">
        <f>ROUND(I84*Y82,2)</f>
        <v>121132.92</v>
      </c>
    </row>
    <row r="85" spans="1:30" ht="45">
      <c r="A85" s="63">
        <v>24</v>
      </c>
      <c r="B85" s="9" t="s">
        <v>499</v>
      </c>
      <c r="C85" s="100">
        <v>40</v>
      </c>
      <c r="D85" s="70">
        <v>0</v>
      </c>
      <c r="E85" s="49" t="s">
        <v>427</v>
      </c>
      <c r="F85" s="69" t="s">
        <v>150</v>
      </c>
      <c r="G85" s="100"/>
      <c r="H85" s="49" t="s">
        <v>301</v>
      </c>
      <c r="I85" s="19">
        <f>SUM(I86:I88)</f>
        <v>3134.0047</v>
      </c>
      <c r="J85" s="46">
        <v>1176</v>
      </c>
      <c r="K85" s="46">
        <f>ROUND(I85*J85,0)</f>
        <v>3685590</v>
      </c>
      <c r="L85" s="46">
        <v>1529</v>
      </c>
      <c r="M85" s="90">
        <f>1390</f>
        <v>1390</v>
      </c>
      <c r="N85" s="46">
        <f>ROUND(I85*M85,0)</f>
        <v>4356267</v>
      </c>
      <c r="O85" s="100">
        <v>1</v>
      </c>
      <c r="P85" s="46"/>
      <c r="Q85" s="46">
        <f>ROUND(I85*P85,0)</f>
        <v>0</v>
      </c>
      <c r="R85" s="46"/>
      <c r="S85" s="46">
        <f>ROUND(I85*R85,0)</f>
        <v>0</v>
      </c>
      <c r="T85" s="46"/>
      <c r="U85" s="46">
        <f>ROUND(I85*T85,0)</f>
        <v>0</v>
      </c>
      <c r="V85" s="100"/>
      <c r="W85" s="100"/>
      <c r="X85" s="46">
        <f>ROUND((M85+P85+R85+T85)*(W85+V85),0)</f>
        <v>0</v>
      </c>
      <c r="Y85" s="90">
        <f>M85+P85+R85+T85+X85</f>
        <v>1390</v>
      </c>
      <c r="Z85" s="46">
        <f>M85-J85</f>
        <v>214</v>
      </c>
      <c r="AA85" s="46">
        <f>ROUND(I85*Z85,0)</f>
        <v>670677</v>
      </c>
      <c r="AB85" s="46">
        <f>Y85-J85</f>
        <v>214</v>
      </c>
      <c r="AC85" s="46">
        <f>ROUND(I85*AB85,0)</f>
        <v>670677</v>
      </c>
      <c r="AD85" s="46">
        <f>ROUND(I85*Y85,0)</f>
        <v>4356267</v>
      </c>
    </row>
    <row r="86" spans="1:30" ht="60" hidden="1">
      <c r="A86" s="63"/>
      <c r="B86" s="94" t="str">
        <f>'Công trình'!C13</f>
        <v>AF.14112</v>
      </c>
      <c r="C86" s="100"/>
      <c r="D86" s="70"/>
      <c r="E86" s="94" t="str">
        <f>'Công trình'!D13</f>
        <v>Bê tông móng, mố, trụ trên cạn SX bằng máy trộn, đổ bằng thủ công, bê tông M200, đá 1x2, PCB40</v>
      </c>
      <c r="F86" s="69"/>
      <c r="G86" s="13">
        <v>1</v>
      </c>
      <c r="H86" s="49"/>
      <c r="I86" s="65">
        <f>'Hao phí vật tư'!K32</f>
        <v>1605.5928</v>
      </c>
      <c r="J86" s="46"/>
      <c r="K86" s="90">
        <f>ROUND(I86*J85,2)</f>
        <v>1888177.13</v>
      </c>
      <c r="L86" s="46"/>
      <c r="M86" s="46"/>
      <c r="N86" s="90">
        <f>ROUND(I86*M85,2)</f>
        <v>2231773.99</v>
      </c>
      <c r="O86" s="100"/>
      <c r="P86" s="46"/>
      <c r="Q86" s="90">
        <f>ROUND(I86*P85,2)</f>
        <v>0</v>
      </c>
      <c r="R86" s="46"/>
      <c r="S86" s="90">
        <f>ROUND(I86*R85,2)</f>
        <v>0</v>
      </c>
      <c r="T86" s="46"/>
      <c r="U86" s="90">
        <f>ROUND(I86*T85,2)</f>
        <v>0</v>
      </c>
      <c r="V86" s="100"/>
      <c r="W86" s="100"/>
      <c r="X86" s="46"/>
      <c r="Y86" s="46"/>
      <c r="Z86" s="46"/>
      <c r="AA86" s="90">
        <f>ROUND(I86*Z85,2)</f>
        <v>343596.86</v>
      </c>
      <c r="AB86" s="46"/>
      <c r="AC86" s="90">
        <f>ROUND(I86*AB85,2)</f>
        <v>343596.86</v>
      </c>
      <c r="AD86" s="90">
        <f>ROUND(I86*Y85,2)</f>
        <v>2231773.99</v>
      </c>
    </row>
    <row r="87" spans="1:30" ht="60" hidden="1">
      <c r="A87" s="63"/>
      <c r="B87" s="94" t="str">
        <f>'Công trình'!C19</f>
        <v>AF.12242</v>
      </c>
      <c r="C87" s="100"/>
      <c r="D87" s="70"/>
      <c r="E87" s="94" t="str">
        <f>'Công trình'!D19</f>
        <v>Bê tông cột SX bằng máy trộn, đổ bằng thủ công, TD &gt;0,1m2, chiều cao ≤28m, M200, đá 1x2, PCB40</v>
      </c>
      <c r="F87" s="69"/>
      <c r="G87" s="13">
        <v>1</v>
      </c>
      <c r="H87" s="49"/>
      <c r="I87" s="65">
        <f>'Hao phí vật tư'!K65</f>
        <v>828.282</v>
      </c>
      <c r="J87" s="46"/>
      <c r="K87" s="90">
        <f>ROUND(I87*J85,2)</f>
        <v>974059.63</v>
      </c>
      <c r="L87" s="46"/>
      <c r="M87" s="46"/>
      <c r="N87" s="90">
        <f>ROUND(I87*M85,2)</f>
        <v>1151311.98</v>
      </c>
      <c r="O87" s="100"/>
      <c r="P87" s="46"/>
      <c r="Q87" s="90">
        <f>ROUND(I87*P85,2)</f>
        <v>0</v>
      </c>
      <c r="R87" s="46"/>
      <c r="S87" s="90">
        <f>ROUND(I87*R85,2)</f>
        <v>0</v>
      </c>
      <c r="T87" s="46"/>
      <c r="U87" s="90">
        <f>ROUND(I87*T85,2)</f>
        <v>0</v>
      </c>
      <c r="V87" s="100"/>
      <c r="W87" s="100"/>
      <c r="X87" s="46"/>
      <c r="Y87" s="46"/>
      <c r="Z87" s="46"/>
      <c r="AA87" s="90">
        <f>ROUND(I87*Z85,2)</f>
        <v>177252.35</v>
      </c>
      <c r="AB87" s="46"/>
      <c r="AC87" s="90">
        <f>ROUND(I87*AB85,2)</f>
        <v>177252.35</v>
      </c>
      <c r="AD87" s="90">
        <f>ROUND(I87*Y85,2)</f>
        <v>1151311.98</v>
      </c>
    </row>
    <row r="88" spans="1:30" ht="60" hidden="1">
      <c r="A88" s="63"/>
      <c r="B88" s="94" t="str">
        <f>'Công trình'!C35</f>
        <v>AF.14132</v>
      </c>
      <c r="C88" s="100"/>
      <c r="D88" s="70"/>
      <c r="E88" s="94" t="str">
        <f>'Công trình'!D35</f>
        <v>Bê tông móng, mố, trụ trên cạn SX bằng máy trộn, đổ bằng thủ công, bê tông M200, đá 2x4, PCB40</v>
      </c>
      <c r="F88" s="69"/>
      <c r="G88" s="13">
        <v>1</v>
      </c>
      <c r="H88" s="49"/>
      <c r="I88" s="65">
        <f>'Hao phí vật tư'!K157</f>
        <v>700.1299</v>
      </c>
      <c r="J88" s="46"/>
      <c r="K88" s="90">
        <f>ROUND(I88*J85,2)</f>
        <v>823352.76</v>
      </c>
      <c r="L88" s="46"/>
      <c r="M88" s="46"/>
      <c r="N88" s="90">
        <f>ROUND(I88*M85,2)</f>
        <v>973180.56</v>
      </c>
      <c r="O88" s="100"/>
      <c r="P88" s="46"/>
      <c r="Q88" s="90">
        <f>ROUND(I88*P85,2)</f>
        <v>0</v>
      </c>
      <c r="R88" s="46"/>
      <c r="S88" s="90">
        <f>ROUND(I88*R85,2)</f>
        <v>0</v>
      </c>
      <c r="T88" s="46"/>
      <c r="U88" s="90">
        <f>ROUND(I88*T85,2)</f>
        <v>0</v>
      </c>
      <c r="V88" s="100"/>
      <c r="W88" s="100"/>
      <c r="X88" s="46"/>
      <c r="Y88" s="46"/>
      <c r="Z88" s="46"/>
      <c r="AA88" s="90">
        <f>ROUND(I88*Z85,2)</f>
        <v>149827.8</v>
      </c>
      <c r="AB88" s="46"/>
      <c r="AC88" s="90">
        <f>ROUND(I88*AB85,2)</f>
        <v>149827.8</v>
      </c>
      <c r="AD88" s="90">
        <f>ROUND(I88*Y85,2)</f>
        <v>973180.56</v>
      </c>
    </row>
    <row r="89" spans="1:30" ht="15">
      <c r="A89" s="63">
        <v>25</v>
      </c>
      <c r="B89" s="9" t="s">
        <v>415</v>
      </c>
      <c r="C89" s="100">
        <v>17</v>
      </c>
      <c r="D89" s="70">
        <v>0</v>
      </c>
      <c r="E89" s="49" t="s">
        <v>445</v>
      </c>
      <c r="F89" s="64" t="s">
        <v>329</v>
      </c>
      <c r="G89" s="100"/>
      <c r="H89" s="49"/>
      <c r="I89" s="19"/>
      <c r="J89" s="46"/>
      <c r="K89" s="46">
        <f>ROUND(SUM(K90:K98),0)</f>
        <v>218477</v>
      </c>
      <c r="L89" s="46"/>
      <c r="M89" s="46"/>
      <c r="N89" s="46">
        <f>ROUND(SUM(N90:N98),0)</f>
        <v>315941</v>
      </c>
      <c r="O89" s="100">
        <v>1</v>
      </c>
      <c r="P89" s="46"/>
      <c r="Q89" s="46">
        <f>ROUND(SUM(Q90:Q98),0)</f>
        <v>0</v>
      </c>
      <c r="R89" s="46"/>
      <c r="S89" s="46">
        <f>ROUND(SUM(S90:S98),0)</f>
        <v>0</v>
      </c>
      <c r="T89" s="46"/>
      <c r="U89" s="46">
        <f>ROUND(SUM(U90:U98),0)</f>
        <v>0</v>
      </c>
      <c r="V89" s="100"/>
      <c r="W89" s="100"/>
      <c r="X89" s="46">
        <f>ROUND((M89+P89+R89+T89)*(W89+V89),0)</f>
        <v>0</v>
      </c>
      <c r="Y89" s="46">
        <f>M89+P89+R89+T89+X89</f>
        <v>0</v>
      </c>
      <c r="Z89" s="46"/>
      <c r="AA89" s="46">
        <f>ROUND(SUM(AA90:AA98),0)</f>
        <v>97465</v>
      </c>
      <c r="AB89" s="46"/>
      <c r="AC89" s="46">
        <f>ROUND(SUM(AC90:AC98),0)</f>
        <v>97465</v>
      </c>
      <c r="AD89" s="46">
        <f>ROUND(SUM(AD90:AD98),0)</f>
        <v>315941</v>
      </c>
    </row>
    <row r="90" spans="1:30" ht="30" hidden="1">
      <c r="A90" s="63"/>
      <c r="B90" s="94" t="str">
        <f>'Công trình'!C11</f>
        <v>AF.81122</v>
      </c>
      <c r="C90" s="100"/>
      <c r="D90" s="70"/>
      <c r="E90" s="94" t="str">
        <f>'Công trình'!D11</f>
        <v>Ván khuôn móng cột - Móng vuông, chữ nhật</v>
      </c>
      <c r="F90" s="69"/>
      <c r="G90" s="13">
        <v>1</v>
      </c>
      <c r="H90" s="49"/>
      <c r="I90" s="65">
        <f>'Hao phí vật tư'!G27</f>
        <v>1</v>
      </c>
      <c r="J90" s="46"/>
      <c r="K90" s="90">
        <f>ROUND((K32+K40+K44+K48)*I90/100,2)</f>
        <v>8441.83</v>
      </c>
      <c r="L90" s="46"/>
      <c r="M90" s="46"/>
      <c r="N90" s="90">
        <f>ROUND((N32+N40+N44+N48)*I90/100,2)</f>
        <v>9002.33</v>
      </c>
      <c r="O90" s="100"/>
      <c r="P90" s="46"/>
      <c r="Q90" s="90">
        <f>ROUND((Q32+Q40+Q44+Q48)*I90/100,2)</f>
        <v>0</v>
      </c>
      <c r="R90" s="46"/>
      <c r="S90" s="90">
        <f>ROUND((S32+S40+S44+S48)*I90/100,2)</f>
        <v>0</v>
      </c>
      <c r="T90" s="46"/>
      <c r="U90" s="90">
        <f>ROUND((U32+U40+U44+U48)*I90/100,2)</f>
        <v>0</v>
      </c>
      <c r="V90" s="100"/>
      <c r="W90" s="100"/>
      <c r="X90" s="46"/>
      <c r="Y90" s="46"/>
      <c r="Z90" s="46"/>
      <c r="AA90" s="90">
        <f>ROUND((AA32+AA40+AA44+AA48)*I90/100,2)</f>
        <v>560.5</v>
      </c>
      <c r="AB90" s="46"/>
      <c r="AC90" s="90">
        <f>ROUND((AC32+AC40+AC44+AC48)*I90/100,2)</f>
        <v>560.5</v>
      </c>
      <c r="AD90" s="90">
        <f>ROUND((AD32+AD40+AD44+AD48)*I90/100,2)</f>
        <v>9002.33</v>
      </c>
    </row>
    <row r="91" spans="1:30" ht="60" hidden="1">
      <c r="A91" s="63"/>
      <c r="B91" s="94" t="str">
        <f>'Công trình'!C13</f>
        <v>AF.14112</v>
      </c>
      <c r="C91" s="100"/>
      <c r="D91" s="70"/>
      <c r="E91" s="94" t="str">
        <f>'Công trình'!D13</f>
        <v>Bê tông móng, mố, trụ trên cạn SX bằng máy trộn, đổ bằng thủ công, bê tông M200, đá 1x2, PCB40</v>
      </c>
      <c r="F91" s="69"/>
      <c r="G91" s="13">
        <v>1</v>
      </c>
      <c r="H91" s="49"/>
      <c r="I91" s="65">
        <f>'Hao phí vật tư'!G36</f>
        <v>2</v>
      </c>
      <c r="J91" s="46"/>
      <c r="K91" s="90">
        <f>ROUND((K12+K22+K55+K86)*I91/100,2)</f>
        <v>65089.07</v>
      </c>
      <c r="L91" s="46"/>
      <c r="M91" s="46"/>
      <c r="N91" s="90">
        <f>ROUND((N12+N22+N55+N86)*I91/100,2)</f>
        <v>98253.62</v>
      </c>
      <c r="O91" s="100"/>
      <c r="P91" s="46"/>
      <c r="Q91" s="90">
        <f>ROUND((Q12+Q22+Q55+Q86)*I91/100,2)</f>
        <v>0</v>
      </c>
      <c r="R91" s="46"/>
      <c r="S91" s="90">
        <f>ROUND((S12+S22+S55+S86)*I91/100,2)</f>
        <v>0</v>
      </c>
      <c r="T91" s="46"/>
      <c r="U91" s="90">
        <f>ROUND((U12+U22+U55+U86)*I91/100,2)</f>
        <v>0</v>
      </c>
      <c r="V91" s="100"/>
      <c r="W91" s="100"/>
      <c r="X91" s="46"/>
      <c r="Y91" s="46"/>
      <c r="Z91" s="46"/>
      <c r="AA91" s="90">
        <f>ROUND((AA12+AA22+AA55+AA86)*I91/100,2)</f>
        <v>33164.55</v>
      </c>
      <c r="AB91" s="46"/>
      <c r="AC91" s="90">
        <f>ROUND((AC12+AC22+AC55+AC86)*I91/100,2)</f>
        <v>33164.55</v>
      </c>
      <c r="AD91" s="90">
        <f>ROUND((AD12+AD22+AD55+AD86)*I91/100,2)</f>
        <v>98253.62</v>
      </c>
    </row>
    <row r="92" spans="1:30" ht="30" hidden="1">
      <c r="A92" s="63"/>
      <c r="B92" s="94" t="str">
        <f>'Công trình'!C17</f>
        <v>AF.81132</v>
      </c>
      <c r="C92" s="100"/>
      <c r="D92" s="70"/>
      <c r="E92" s="94" t="str">
        <f>'Công trình'!D17</f>
        <v>Ván khuôn cột - Cột vuông, chữ nhật</v>
      </c>
      <c r="F92" s="69"/>
      <c r="G92" s="13">
        <v>1</v>
      </c>
      <c r="H92" s="49"/>
      <c r="I92" s="65">
        <f>'Hao phí vật tư'!G60</f>
        <v>1</v>
      </c>
      <c r="J92" s="46"/>
      <c r="K92" s="90">
        <f>ROUND((K33+K41+K45+K49)*I92/100,2)</f>
        <v>13989.44</v>
      </c>
      <c r="L92" s="46"/>
      <c r="M92" s="46"/>
      <c r="N92" s="90">
        <f>ROUND((N33+N41+N45+N49)*I92/100,2)</f>
        <v>14856.7</v>
      </c>
      <c r="O92" s="100"/>
      <c r="P92" s="46"/>
      <c r="Q92" s="90">
        <f>ROUND((Q33+Q41+Q45+Q49)*I92/100,2)</f>
        <v>0</v>
      </c>
      <c r="R92" s="46"/>
      <c r="S92" s="90">
        <f>ROUND((S33+S41+S45+S49)*I92/100,2)</f>
        <v>0</v>
      </c>
      <c r="T92" s="46"/>
      <c r="U92" s="90">
        <f>ROUND((U33+U41+U45+U49)*I92/100,2)</f>
        <v>0</v>
      </c>
      <c r="V92" s="100"/>
      <c r="W92" s="100"/>
      <c r="X92" s="46"/>
      <c r="Y92" s="46"/>
      <c r="Z92" s="46"/>
      <c r="AA92" s="90">
        <f>ROUND((AA33+AA41+AA45+AA49)*I92/100,2)</f>
        <v>867.26</v>
      </c>
      <c r="AB92" s="46"/>
      <c r="AC92" s="90">
        <f>ROUND((AC33+AC41+AC45+AC49)*I92/100,2)</f>
        <v>867.26</v>
      </c>
      <c r="AD92" s="90">
        <f>ROUND((AD33+AD41+AD45+AD49)*I92/100,2)</f>
        <v>14856.7</v>
      </c>
    </row>
    <row r="93" spans="1:30" ht="60" hidden="1">
      <c r="A93" s="63"/>
      <c r="B93" s="94" t="str">
        <f>'Công trình'!C19</f>
        <v>AF.12242</v>
      </c>
      <c r="C93" s="100"/>
      <c r="D93" s="70"/>
      <c r="E93" s="94" t="str">
        <f>'Công trình'!D19</f>
        <v>Bê tông cột SX bằng máy trộn, đổ bằng thủ công, TD &gt;0,1m2, chiều cao ≤28m, M200, đá 1x2, PCB40</v>
      </c>
      <c r="F93" s="69"/>
      <c r="G93" s="13">
        <v>1</v>
      </c>
      <c r="H93" s="49"/>
      <c r="I93" s="65">
        <f>'Hao phí vật tư'!G69</f>
        <v>5</v>
      </c>
      <c r="J93" s="46"/>
      <c r="K93" s="90">
        <f>ROUND((K13+K23+K56+K87)*I93/100,2)</f>
        <v>83943.35</v>
      </c>
      <c r="L93" s="46"/>
      <c r="M93" s="46"/>
      <c r="N93" s="90">
        <f>ROUND((N13+N23+N56+N87)*I93/100,2)</f>
        <v>126714.29</v>
      </c>
      <c r="O93" s="100"/>
      <c r="P93" s="46"/>
      <c r="Q93" s="90">
        <f>ROUND((Q13+Q23+Q56+Q87)*I93/100,2)</f>
        <v>0</v>
      </c>
      <c r="R93" s="46"/>
      <c r="S93" s="90">
        <f>ROUND((S13+S23+S56+S87)*I93/100,2)</f>
        <v>0</v>
      </c>
      <c r="T93" s="46"/>
      <c r="U93" s="90">
        <f>ROUND((U13+U23+U56+U87)*I93/100,2)</f>
        <v>0</v>
      </c>
      <c r="V93" s="100"/>
      <c r="W93" s="100"/>
      <c r="X93" s="46"/>
      <c r="Y93" s="46"/>
      <c r="Z93" s="46"/>
      <c r="AA93" s="90">
        <f>ROUND((AA13+AA23+AA56+AA87)*I93/100,2)</f>
        <v>42770.94</v>
      </c>
      <c r="AB93" s="46"/>
      <c r="AC93" s="90">
        <f>ROUND((AC13+AC23+AC56+AC87)*I93/100,2)</f>
        <v>42770.94</v>
      </c>
      <c r="AD93" s="90">
        <f>ROUND((AD13+AD23+AD56+AD87)*I93/100,2)</f>
        <v>126714.29</v>
      </c>
    </row>
    <row r="94" spans="1:30" ht="30" hidden="1">
      <c r="A94" s="63"/>
      <c r="B94" s="94" t="str">
        <f>'Công trình'!C25</f>
        <v>AI.11121</v>
      </c>
      <c r="C94" s="100"/>
      <c r="D94" s="70"/>
      <c r="E94" s="94" t="str">
        <f>'Công trình'!D25</f>
        <v>Gia công vì kèo thép hình khẩu độ nhỏ, khẩu độ ≤9m</v>
      </c>
      <c r="F94" s="69"/>
      <c r="G94" s="13">
        <v>1</v>
      </c>
      <c r="H94" s="49"/>
      <c r="I94" s="65">
        <f>'Hao phí vật tư'!G107</f>
        <v>0.5</v>
      </c>
      <c r="J94" s="46"/>
      <c r="K94" s="90">
        <f>ROUND((K52+K62+K66+K70+K73)*I94/100,2)</f>
        <v>15539.09</v>
      </c>
      <c r="L94" s="46"/>
      <c r="M94" s="46"/>
      <c r="N94" s="90">
        <f>ROUND((N52+N62+N66+N70+N73)*I94/100,2)</f>
        <v>20115.23</v>
      </c>
      <c r="O94" s="100"/>
      <c r="P94" s="46"/>
      <c r="Q94" s="90">
        <f>ROUND((Q52+Q62+Q66+Q70+Q73)*I94/100,2)</f>
        <v>0</v>
      </c>
      <c r="R94" s="46"/>
      <c r="S94" s="90">
        <f>ROUND((S52+S62+S66+S70+S73)*I94/100,2)</f>
        <v>0</v>
      </c>
      <c r="T94" s="46"/>
      <c r="U94" s="90">
        <f>ROUND((U52+U62+U66+U70+U73)*I94/100,2)</f>
        <v>0</v>
      </c>
      <c r="V94" s="100"/>
      <c r="W94" s="100"/>
      <c r="X94" s="46"/>
      <c r="Y94" s="46"/>
      <c r="Z94" s="46"/>
      <c r="AA94" s="90">
        <f>ROUND((AA52+AA62+AA66+AA70+AA73)*I94/100,2)</f>
        <v>4576.14</v>
      </c>
      <c r="AB94" s="46"/>
      <c r="AC94" s="90">
        <f>ROUND((AC52+AC62+AC66+AC70+AC73)*I94/100,2)</f>
        <v>4576.14</v>
      </c>
      <c r="AD94" s="90">
        <f>ROUND((AD52+AD62+AD66+AD70+AD73)*I94/100,2)</f>
        <v>20115.23</v>
      </c>
    </row>
    <row r="95" spans="1:30" ht="30" hidden="1">
      <c r="A95" s="63"/>
      <c r="B95" s="94" t="str">
        <f>'Công trình'!C27</f>
        <v>AI.61121</v>
      </c>
      <c r="C95" s="100"/>
      <c r="D95" s="70"/>
      <c r="E95" s="94" t="str">
        <f>'Công trình'!D27</f>
        <v>Lắp vì kèo thép khẩu độ ≤18m</v>
      </c>
      <c r="F95" s="69"/>
      <c r="G95" s="13">
        <v>1</v>
      </c>
      <c r="H95" s="49"/>
      <c r="I95" s="65">
        <f>'Hao phí vật tư'!G123</f>
        <v>1</v>
      </c>
      <c r="J95" s="46"/>
      <c r="K95" s="90">
        <f>ROUND((K9+K28+K36+K38+K67+K71)*I95/100,2)</f>
        <v>688.25</v>
      </c>
      <c r="L95" s="46"/>
      <c r="M95" s="46"/>
      <c r="N95" s="90">
        <f>ROUND((N9+N28+N36+N38+N67+N71)*I95/100,2)</f>
        <v>719.68</v>
      </c>
      <c r="O95" s="100"/>
      <c r="P95" s="46"/>
      <c r="Q95" s="90">
        <f>ROUND((Q9+Q28+Q36+Q38+Q67+Q71)*I95/100,2)</f>
        <v>0</v>
      </c>
      <c r="R95" s="46"/>
      <c r="S95" s="90">
        <f>ROUND((S9+S28+S36+S38+S67+S71)*I95/100,2)</f>
        <v>0</v>
      </c>
      <c r="T95" s="46"/>
      <c r="U95" s="90">
        <f>ROUND((U9+U28+U36+U38+U67+U71)*I95/100,2)</f>
        <v>0</v>
      </c>
      <c r="V95" s="100"/>
      <c r="W95" s="100"/>
      <c r="X95" s="46"/>
      <c r="Y95" s="46"/>
      <c r="Z95" s="46"/>
      <c r="AA95" s="90">
        <f>ROUND((AA9+AA28+AA36+AA38+AA67+AA71)*I95/100,2)</f>
        <v>31.43</v>
      </c>
      <c r="AB95" s="46"/>
      <c r="AC95" s="90">
        <f>ROUND((AC9+AC28+AC36+AC38+AC67+AC71)*I95/100,2)</f>
        <v>31.43</v>
      </c>
      <c r="AD95" s="90">
        <f>ROUND((AD9+AD28+AD36+AD38+AD67+AD71)*I95/100,2)</f>
        <v>719.68</v>
      </c>
    </row>
    <row r="96" spans="1:30" ht="30" hidden="1">
      <c r="A96" s="63"/>
      <c r="B96" s="94" t="str">
        <f>'Công trình'!C33</f>
        <v>AF.81122</v>
      </c>
      <c r="C96" s="100"/>
      <c r="D96" s="70"/>
      <c r="E96" s="94" t="str">
        <f>'Công trình'!D33</f>
        <v>Ván khuôn móng cột - Móng vuông, chữ nhật</v>
      </c>
      <c r="F96" s="69"/>
      <c r="G96" s="13">
        <v>1</v>
      </c>
      <c r="H96" s="49"/>
      <c r="I96" s="65">
        <f>'Hao phí vật tư'!G152</f>
        <v>1</v>
      </c>
      <c r="J96" s="46"/>
      <c r="K96" s="90">
        <f>ROUND((K34+K42+K46+K50)*I96/100,2)</f>
        <v>1551.26</v>
      </c>
      <c r="L96" s="46"/>
      <c r="M96" s="46"/>
      <c r="N96" s="90">
        <f>ROUND((N34+N42+N46+N50)*I96/100,2)</f>
        <v>1654.17</v>
      </c>
      <c r="O96" s="100"/>
      <c r="P96" s="46"/>
      <c r="Q96" s="90">
        <f>ROUND((Q34+Q42+Q46+Q50)*I96/100,2)</f>
        <v>0</v>
      </c>
      <c r="R96" s="46"/>
      <c r="S96" s="90">
        <f>ROUND((S34+S42+S46+S50)*I96/100,2)</f>
        <v>0</v>
      </c>
      <c r="T96" s="46"/>
      <c r="U96" s="90">
        <f>ROUND((U34+U42+U46+U50)*I96/100,2)</f>
        <v>0</v>
      </c>
      <c r="V96" s="100"/>
      <c r="W96" s="100"/>
      <c r="X96" s="46"/>
      <c r="Y96" s="46"/>
      <c r="Z96" s="46"/>
      <c r="AA96" s="90">
        <f>ROUND((AA34+AA42+AA46+AA50)*I96/100,2)</f>
        <v>102.91</v>
      </c>
      <c r="AB96" s="46"/>
      <c r="AC96" s="90">
        <f>ROUND((AC34+AC42+AC46+AC50)*I96/100,2)</f>
        <v>102.91</v>
      </c>
      <c r="AD96" s="90">
        <f>ROUND((AD34+AD42+AD46+AD50)*I96/100,2)</f>
        <v>1654.17</v>
      </c>
    </row>
    <row r="97" spans="1:30" ht="60" hidden="1">
      <c r="A97" s="63"/>
      <c r="B97" s="94" t="str">
        <f>'Công trình'!C35</f>
        <v>AF.14132</v>
      </c>
      <c r="C97" s="100"/>
      <c r="D97" s="70"/>
      <c r="E97" s="94" t="str">
        <f>'Công trình'!D35</f>
        <v>Bê tông móng, mố, trụ trên cạn SX bằng máy trộn, đổ bằng thủ công, bê tông M200, đá 2x4, PCB40</v>
      </c>
      <c r="F97" s="69"/>
      <c r="G97" s="13">
        <v>1</v>
      </c>
      <c r="H97" s="49"/>
      <c r="I97" s="65">
        <f>'Hao phí vật tư'!G161</f>
        <v>2</v>
      </c>
      <c r="J97" s="46"/>
      <c r="K97" s="90">
        <f>ROUND((K15+K17+K58+K88)*I97/100,2)</f>
        <v>28765.69</v>
      </c>
      <c r="L97" s="46"/>
      <c r="M97" s="46"/>
      <c r="N97" s="90">
        <f>ROUND((N15+N17+N58+N88)*I97/100,2)</f>
        <v>44130.84</v>
      </c>
      <c r="O97" s="100"/>
      <c r="P97" s="46"/>
      <c r="Q97" s="90">
        <f>ROUND((Q15+Q17+Q58+Q88)*I97/100,2)</f>
        <v>0</v>
      </c>
      <c r="R97" s="46"/>
      <c r="S97" s="90">
        <f>ROUND((S15+S17+S58+S88)*I97/100,2)</f>
        <v>0</v>
      </c>
      <c r="T97" s="46"/>
      <c r="U97" s="90">
        <f>ROUND((U15+U17+U58+U88)*I97/100,2)</f>
        <v>0</v>
      </c>
      <c r="V97" s="100"/>
      <c r="W97" s="100"/>
      <c r="X97" s="46"/>
      <c r="Y97" s="46"/>
      <c r="Z97" s="46"/>
      <c r="AA97" s="90">
        <f>ROUND((AA15+AA17+AA58+AA88)*I97/100,2)</f>
        <v>15365.15</v>
      </c>
      <c r="AB97" s="46"/>
      <c r="AC97" s="90">
        <f>ROUND((AC15+AC17+AC58+AC88)*I97/100,2)</f>
        <v>15365.15</v>
      </c>
      <c r="AD97" s="90">
        <f>ROUND((AD15+AD17+AD58+AD88)*I97/100,2)</f>
        <v>44130.84</v>
      </c>
    </row>
    <row r="98" spans="1:30" ht="60" hidden="1">
      <c r="A98" s="127"/>
      <c r="B98" s="24" t="str">
        <f>'Công trình'!C41</f>
        <v>BB.46032</v>
      </c>
      <c r="C98" s="29"/>
      <c r="D98" s="135"/>
      <c r="E98" s="24" t="str">
        <f>'Công trình'!D41</f>
        <v>Lắp đặt ống nhựa HDPE đường kính 140mm, PN8 bằng phương pháp hàn gia nhiệt, chiều dày 6,7mm</v>
      </c>
      <c r="F98" s="134"/>
      <c r="G98" s="74">
        <v>1</v>
      </c>
      <c r="H98" s="107"/>
      <c r="I98" s="126">
        <f>'Hao phí vật tư'!G190</f>
        <v>0.01</v>
      </c>
      <c r="J98" s="105"/>
      <c r="K98" s="22">
        <f>ROUND((K60)*I98/100,2)</f>
        <v>468.58</v>
      </c>
      <c r="L98" s="105"/>
      <c r="M98" s="105"/>
      <c r="N98" s="22">
        <f>ROUND((N60)*I98/100,2)</f>
        <v>494.51</v>
      </c>
      <c r="O98" s="29"/>
      <c r="P98" s="105"/>
      <c r="Q98" s="22">
        <f>ROUND((Q60)*I98/100,2)</f>
        <v>0</v>
      </c>
      <c r="R98" s="105"/>
      <c r="S98" s="22">
        <f>ROUND((S60)*I98/100,2)</f>
        <v>0</v>
      </c>
      <c r="T98" s="105"/>
      <c r="U98" s="22">
        <f>ROUND((U60)*I98/100,2)</f>
        <v>0</v>
      </c>
      <c r="V98" s="29"/>
      <c r="W98" s="29"/>
      <c r="X98" s="105"/>
      <c r="Y98" s="105"/>
      <c r="Z98" s="105"/>
      <c r="AA98" s="22">
        <f>ROUND((AA60)*I98/100,2)</f>
        <v>25.93</v>
      </c>
      <c r="AB98" s="105"/>
      <c r="AC98" s="22">
        <f>ROUND((AC60)*I98/100,2)</f>
        <v>25.93</v>
      </c>
      <c r="AD98" s="22">
        <f>ROUND((AD60)*I98/100,2)</f>
        <v>494.51</v>
      </c>
    </row>
    <row r="99" spans="1:30" ht="15" hidden="1">
      <c r="A99" s="133"/>
      <c r="B99" s="112"/>
      <c r="C99" s="33"/>
      <c r="D99" s="112"/>
      <c r="E99" s="112" t="s">
        <v>382</v>
      </c>
      <c r="F99" s="7"/>
      <c r="G99" s="33"/>
      <c r="H99" s="112"/>
      <c r="I99" s="84"/>
      <c r="J99" s="109"/>
      <c r="K99" s="109">
        <f>ROUND(SUMIF(D8:D98,"&gt;0",K8:K98),0)</f>
        <v>0</v>
      </c>
      <c r="L99" s="109"/>
      <c r="M99" s="109"/>
      <c r="N99" s="109">
        <f>ROUND(SUMIF(D8:D98,"&gt;0",N8:N98),0)</f>
        <v>0</v>
      </c>
      <c r="O99" s="33"/>
      <c r="P99" s="109"/>
      <c r="Q99" s="109"/>
      <c r="R99" s="109"/>
      <c r="S99" s="109"/>
      <c r="T99" s="109"/>
      <c r="U99" s="109"/>
      <c r="V99" s="33"/>
      <c r="W99" s="33"/>
      <c r="X99" s="109"/>
      <c r="Y99" s="109"/>
      <c r="Z99" s="109"/>
      <c r="AA99" s="109">
        <f>ROUND(SUMIF(D8:D98,"&gt;0",AA8:AA98),0)</f>
        <v>0</v>
      </c>
      <c r="AB99" s="109"/>
      <c r="AC99" s="109">
        <f>ROUND(SUMIF(D8:D98,"&gt;0",AC8:AC98),0)</f>
        <v>0</v>
      </c>
      <c r="AD99" s="109">
        <f>ROUND(SUMIF(D8:D98,"&gt;0",AD8:AD98),0)</f>
        <v>0</v>
      </c>
    </row>
    <row r="100" spans="1:30" ht="18" customHeight="1">
      <c r="A100" s="133"/>
      <c r="B100" s="112"/>
      <c r="C100" s="16"/>
      <c r="D100" s="120"/>
      <c r="E100" s="112" t="s">
        <v>32</v>
      </c>
      <c r="F100" s="7"/>
      <c r="G100" s="16"/>
      <c r="H100" s="99"/>
      <c r="I100" s="84"/>
      <c r="J100" s="109"/>
      <c r="K100" s="109">
        <f>ROUND(SUMIF(C8:C98,"&gt;0",K8:K98),0)</f>
        <v>27982099</v>
      </c>
      <c r="L100" s="96"/>
      <c r="M100" s="109"/>
      <c r="N100" s="109">
        <f>ROUND(SUMIF(C8:C98,"&gt;0",N8:N98),0)</f>
        <v>39545630</v>
      </c>
      <c r="O100" s="16"/>
      <c r="P100" s="96"/>
      <c r="Q100" s="109">
        <f>ROUND(SUMIF(C8:C98,"&gt;0",Q8:Q98),0)</f>
        <v>0</v>
      </c>
      <c r="R100" s="96"/>
      <c r="S100" s="109">
        <f>ROUND(SUMIF(C8:C98,"&gt;0",S8:S98),0)</f>
        <v>0</v>
      </c>
      <c r="T100" s="96"/>
      <c r="U100" s="109">
        <f>ROUND(SUMIF(C8:C98,"&gt;0",U8:U98),0)</f>
        <v>0</v>
      </c>
      <c r="V100" s="16"/>
      <c r="W100" s="16"/>
      <c r="X100" s="96"/>
      <c r="Y100" s="96"/>
      <c r="Z100" s="96"/>
      <c r="AA100" s="109">
        <f>ROUND(SUMIF(C8:C98,"&gt;0",AA8:AA98),0)</f>
        <v>11563531</v>
      </c>
      <c r="AB100" s="109"/>
      <c r="AC100" s="109">
        <f>ROUND(SUMIF(C8:C98,"&gt;0",AC8:AC98),0)</f>
        <v>11563531</v>
      </c>
      <c r="AD100" s="109">
        <f>ROUND(SUMIF(C8:C98,"&gt;0",AD8:AD98),0)</f>
        <v>39545630</v>
      </c>
    </row>
    <row r="101" spans="1:30" ht="16.5" customHeight="1">
      <c r="A101" s="128"/>
      <c r="B101" s="104"/>
      <c r="C101" s="25"/>
      <c r="D101" s="104"/>
      <c r="E101" s="104"/>
      <c r="F101" s="128"/>
      <c r="G101" s="25"/>
      <c r="H101" s="10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</sheetData>
  <sheetProtection/>
  <mergeCells count="33">
    <mergeCell ref="Z6:Z7"/>
    <mergeCell ref="AA6:AA7"/>
    <mergeCell ref="AB6:AB7"/>
    <mergeCell ref="AC6:AC7"/>
    <mergeCell ref="AD6:AD7"/>
    <mergeCell ref="R6:R7"/>
    <mergeCell ref="S6:S7"/>
    <mergeCell ref="T6:T7"/>
    <mergeCell ref="U6:U7"/>
    <mergeCell ref="V6:X6"/>
    <mergeCell ref="Y6:Y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AC1"/>
    <mergeCell ref="A2:AC2"/>
    <mergeCell ref="A3:AC3"/>
    <mergeCell ref="A4:AC4"/>
    <mergeCell ref="AB5:AD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1" width="6.7109375" style="130" customWidth="1"/>
    <col min="2" max="2" width="11.421875" style="130" customWidth="1"/>
    <col min="3" max="3" width="11.140625" style="130" hidden="1" customWidth="1"/>
    <col min="4" max="4" width="17.28125" style="130" hidden="1" customWidth="1"/>
    <col min="5" max="5" width="42.421875" style="130" customWidth="1"/>
    <col min="6" max="6" width="11.421875" style="130" hidden="1" customWidth="1"/>
    <col min="7" max="7" width="13.28125" style="130" hidden="1" customWidth="1"/>
    <col min="8" max="8" width="9.7109375" style="130" customWidth="1"/>
    <col min="9" max="9" width="9.00390625" style="130" hidden="1" customWidth="1"/>
    <col min="10" max="10" width="13.57421875" style="130" customWidth="1"/>
    <col min="11" max="11" width="13.7109375" style="130" customWidth="1"/>
    <col min="12" max="12" width="19.140625" style="130" hidden="1" customWidth="1"/>
    <col min="13" max="13" width="15.00390625" style="130" hidden="1" customWidth="1"/>
    <col min="14" max="15" width="13.140625" style="130" customWidth="1"/>
    <col min="16" max="16" width="14.57421875" style="130" customWidth="1"/>
    <col min="17" max="17" width="14.00390625" style="130" hidden="1" customWidth="1"/>
    <col min="18" max="16384" width="9.140625" style="130" customWidth="1"/>
  </cols>
  <sheetData>
    <row r="1" spans="1:17" ht="22.5" customHeight="1">
      <c r="A1" s="149" t="s">
        <v>120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5"/>
    </row>
    <row r="2" spans="1:17" ht="19.5" customHeight="1">
      <c r="A2" s="150" t="str">
        <f>'Công trình'!A2</f>
        <v>Công trình: Sửa chữa nâng cấp mương suối Tú, bản Chại, xã Hiền Chung, huyện Quan Hóa, tỉnh Thanh Hóa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25"/>
    </row>
    <row r="3" spans="1:17" ht="18" customHeight="1">
      <c r="A3" s="147" t="str">
        <f>'Công trình'!A3</f>
        <v>HẠNG MỤC: Hạng mục 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25"/>
    </row>
    <row r="4" spans="1:17" ht="16.5" customHeight="1">
      <c r="A4" s="128"/>
      <c r="B4" s="104"/>
      <c r="C4" s="25"/>
      <c r="D4" s="104"/>
      <c r="E4" s="104"/>
      <c r="F4" s="104"/>
      <c r="G4" s="104"/>
      <c r="H4" s="128"/>
      <c r="I4" s="25"/>
      <c r="J4" s="25"/>
      <c r="K4" s="25"/>
      <c r="L4" s="25"/>
      <c r="M4" s="51"/>
      <c r="N4" s="25"/>
      <c r="O4" s="152" t="s">
        <v>554</v>
      </c>
      <c r="P4" s="152"/>
      <c r="Q4" s="152"/>
    </row>
    <row r="5" spans="1:17" ht="18.75" customHeight="1">
      <c r="A5" s="132" t="s">
        <v>576</v>
      </c>
      <c r="B5" s="102" t="s">
        <v>178</v>
      </c>
      <c r="C5" s="5" t="s">
        <v>605</v>
      </c>
      <c r="D5" s="5" t="s">
        <v>17</v>
      </c>
      <c r="E5" s="5" t="s">
        <v>54</v>
      </c>
      <c r="F5" s="5" t="s">
        <v>74</v>
      </c>
      <c r="G5" s="5" t="s">
        <v>60</v>
      </c>
      <c r="H5" s="5" t="s">
        <v>444</v>
      </c>
      <c r="I5" s="5" t="s">
        <v>434</v>
      </c>
      <c r="J5" s="57" t="s">
        <v>84</v>
      </c>
      <c r="K5" s="82" t="s">
        <v>487</v>
      </c>
      <c r="L5" s="82" t="s">
        <v>239</v>
      </c>
      <c r="M5" s="5" t="s">
        <v>455</v>
      </c>
      <c r="N5" s="82" t="s">
        <v>10</v>
      </c>
      <c r="O5" s="82" t="s">
        <v>252</v>
      </c>
      <c r="P5" s="82" t="s">
        <v>291</v>
      </c>
      <c r="Q5" s="58" t="s">
        <v>116</v>
      </c>
    </row>
    <row r="6" spans="1:17" ht="15">
      <c r="A6" s="110">
        <v>1</v>
      </c>
      <c r="B6" s="54" t="s">
        <v>99</v>
      </c>
      <c r="C6" s="12">
        <v>50</v>
      </c>
      <c r="D6" s="115"/>
      <c r="E6" s="91" t="s">
        <v>164</v>
      </c>
      <c r="F6" s="91"/>
      <c r="G6" s="91"/>
      <c r="H6" s="116" t="s">
        <v>78</v>
      </c>
      <c r="I6" s="12"/>
      <c r="J6" s="62">
        <f>SUM(J7:J8)</f>
        <v>16.1175</v>
      </c>
      <c r="K6" s="88">
        <v>182895</v>
      </c>
      <c r="L6" s="88">
        <f>ROUND(J6*K6,0)</f>
        <v>2947810</v>
      </c>
      <c r="M6" s="38">
        <v>1</v>
      </c>
      <c r="N6" s="2">
        <v>195697</v>
      </c>
      <c r="O6" s="88">
        <f>N6-K6</f>
        <v>12802</v>
      </c>
      <c r="P6" s="88">
        <f>ROUND(J6*O6,0)</f>
        <v>206336</v>
      </c>
      <c r="Q6" s="88">
        <f>ROUND(J6*N6,0)</f>
        <v>3154146</v>
      </c>
    </row>
    <row r="7" spans="1:17" ht="30" hidden="1">
      <c r="A7" s="63"/>
      <c r="B7" s="94" t="str">
        <f>'Công trình'!C7</f>
        <v>AB.11433</v>
      </c>
      <c r="C7" s="100"/>
      <c r="D7" s="70">
        <v>0</v>
      </c>
      <c r="E7" s="94" t="str">
        <f>'Công trình'!D7</f>
        <v>Đào móng cột, trụ, hố kiểm tra bằng thủ công, rộng &gt;1m, sâu ≤1m - Cấp đất III</v>
      </c>
      <c r="F7" s="49"/>
      <c r="G7" s="49"/>
      <c r="H7" s="69"/>
      <c r="I7" s="13">
        <v>1</v>
      </c>
      <c r="J7" s="65">
        <f>'Hao phí vật tư'!L9</f>
        <v>13.23</v>
      </c>
      <c r="K7" s="46"/>
      <c r="L7" s="90">
        <f>ROUND(J7*K6,2)</f>
        <v>2419700.85</v>
      </c>
      <c r="M7" s="37" t="str">
        <f>'Công trình'!X7</f>
        <v>TH_2021_QD_366_XD</v>
      </c>
      <c r="N7" s="46"/>
      <c r="O7" s="46"/>
      <c r="P7" s="90">
        <f>ROUND(J7*O6,2)</f>
        <v>169370.46</v>
      </c>
      <c r="Q7" s="90">
        <f>ROUND(J7*N6,2)</f>
        <v>2589071.31</v>
      </c>
    </row>
    <row r="8" spans="1:17" ht="30" hidden="1">
      <c r="A8" s="63"/>
      <c r="B8" s="94" t="str">
        <f>'Công trình'!C29</f>
        <v>AB.11433</v>
      </c>
      <c r="C8" s="100"/>
      <c r="D8" s="70">
        <v>0</v>
      </c>
      <c r="E8" s="94" t="str">
        <f>'Công trình'!D29</f>
        <v>Đào móng cột, trụ, hố kiểm tra bằng thủ công, rộng &gt;1m, sâu ≤1m - Cấp đất III</v>
      </c>
      <c r="F8" s="49"/>
      <c r="G8" s="49"/>
      <c r="H8" s="69"/>
      <c r="I8" s="13">
        <v>1</v>
      </c>
      <c r="J8" s="65">
        <f>'Hao phí vật tư'!L134</f>
        <v>2.8875</v>
      </c>
      <c r="K8" s="46"/>
      <c r="L8" s="90">
        <f>ROUND(J8*K6,2)</f>
        <v>528109.31</v>
      </c>
      <c r="M8" s="37" t="str">
        <f>'Công trình'!X29</f>
        <v>TH_2021_QD_366_XD</v>
      </c>
      <c r="N8" s="46"/>
      <c r="O8" s="46"/>
      <c r="P8" s="90">
        <f>ROUND(J8*O6,2)</f>
        <v>36965.78</v>
      </c>
      <c r="Q8" s="90">
        <f>ROUND(J8*N6,2)</f>
        <v>565075.09</v>
      </c>
    </row>
    <row r="9" spans="1:17" ht="15">
      <c r="A9" s="63">
        <v>2</v>
      </c>
      <c r="B9" s="9" t="s">
        <v>123</v>
      </c>
      <c r="C9" s="100">
        <v>53</v>
      </c>
      <c r="D9" s="70"/>
      <c r="E9" s="49" t="s">
        <v>156</v>
      </c>
      <c r="F9" s="49"/>
      <c r="G9" s="49"/>
      <c r="H9" s="69" t="s">
        <v>78</v>
      </c>
      <c r="I9" s="100"/>
      <c r="J9" s="19">
        <f>SUM(J10:J11)</f>
        <v>1.1067</v>
      </c>
      <c r="K9" s="46">
        <v>196612</v>
      </c>
      <c r="L9" s="46">
        <f>ROUND(J9*K9,0)</f>
        <v>217591</v>
      </c>
      <c r="M9" s="118">
        <v>1</v>
      </c>
      <c r="N9" s="90">
        <v>210329</v>
      </c>
      <c r="O9" s="46">
        <f>N9-K9</f>
        <v>13717</v>
      </c>
      <c r="P9" s="46">
        <f>ROUND(J9*O9,0)</f>
        <v>15181</v>
      </c>
      <c r="Q9" s="46">
        <f>ROUND(J9*N9,0)</f>
        <v>232771</v>
      </c>
    </row>
    <row r="10" spans="1:17" ht="30" hidden="1">
      <c r="A10" s="63"/>
      <c r="B10" s="94" t="str">
        <f>'Công trình'!C9</f>
        <v>AF.11110</v>
      </c>
      <c r="C10" s="100"/>
      <c r="D10" s="70">
        <v>0</v>
      </c>
      <c r="E10" s="94" t="str">
        <f>'Công trình'!D9</f>
        <v>Bê tông lót móng SX bằng máy trộn, đổ bằng thủ công, rộng ≤250cm, M100, đá 4x6, PCB30</v>
      </c>
      <c r="F10" s="49"/>
      <c r="G10" s="49"/>
      <c r="H10" s="69"/>
      <c r="I10" s="13">
        <v>1</v>
      </c>
      <c r="J10" s="65">
        <f>'Hao phí vật tư'!L17</f>
        <v>0.6292</v>
      </c>
      <c r="K10" s="46"/>
      <c r="L10" s="90">
        <f>ROUND(J10*K9,2)</f>
        <v>123708.27</v>
      </c>
      <c r="M10" s="37" t="str">
        <f>'Công trình'!X9</f>
        <v>TH_2021_QD_366_XD</v>
      </c>
      <c r="N10" s="46"/>
      <c r="O10" s="46"/>
      <c r="P10" s="90">
        <f>ROUND(J10*O9,2)</f>
        <v>8630.74</v>
      </c>
      <c r="Q10" s="90">
        <f>ROUND(J10*N9,2)</f>
        <v>132339.01</v>
      </c>
    </row>
    <row r="11" spans="1:17" ht="30" hidden="1">
      <c r="A11" s="63"/>
      <c r="B11" s="94" t="str">
        <f>'Công trình'!C31</f>
        <v>AF.11110</v>
      </c>
      <c r="C11" s="100"/>
      <c r="D11" s="70">
        <v>0</v>
      </c>
      <c r="E11" s="94" t="str">
        <f>'Công trình'!D31</f>
        <v>Bê tông lót móng SX bằng máy trộn, đổ bằng thủ công, rộng ≤250cm, M100, đá 4x6, PCB30</v>
      </c>
      <c r="F11" s="49"/>
      <c r="G11" s="49"/>
      <c r="H11" s="69"/>
      <c r="I11" s="13">
        <v>1</v>
      </c>
      <c r="J11" s="65">
        <f>'Hao phí vật tư'!L142</f>
        <v>0.4775</v>
      </c>
      <c r="K11" s="46"/>
      <c r="L11" s="90">
        <f>ROUND(J11*K9,2)</f>
        <v>93882.23</v>
      </c>
      <c r="M11" s="37" t="str">
        <f>'Công trình'!X31</f>
        <v>TH_2021_QD_366_XD</v>
      </c>
      <c r="N11" s="46"/>
      <c r="O11" s="46"/>
      <c r="P11" s="90">
        <f>ROUND(J11*O9,2)</f>
        <v>6549.87</v>
      </c>
      <c r="Q11" s="90">
        <f>ROUND(J11*N9,2)</f>
        <v>100432.1</v>
      </c>
    </row>
    <row r="12" spans="1:17" ht="15">
      <c r="A12" s="63">
        <v>3</v>
      </c>
      <c r="B12" s="9" t="s">
        <v>132</v>
      </c>
      <c r="C12" s="100">
        <v>51</v>
      </c>
      <c r="D12" s="70"/>
      <c r="E12" s="49" t="s">
        <v>528</v>
      </c>
      <c r="F12" s="49"/>
      <c r="G12" s="49"/>
      <c r="H12" s="69" t="s">
        <v>78</v>
      </c>
      <c r="I12" s="100"/>
      <c r="J12" s="19">
        <f>SUM(J13:J21)</f>
        <v>34.974900000000005</v>
      </c>
      <c r="K12" s="46">
        <v>215000</v>
      </c>
      <c r="L12" s="46">
        <f>ROUND(J12*K12,0)</f>
        <v>7519604</v>
      </c>
      <c r="M12" s="118">
        <v>1</v>
      </c>
      <c r="N12" s="90">
        <v>230000</v>
      </c>
      <c r="O12" s="46">
        <f>N12-K12</f>
        <v>15000</v>
      </c>
      <c r="P12" s="46">
        <f>ROUND(J12*O12,0)</f>
        <v>524624</v>
      </c>
      <c r="Q12" s="46">
        <f>ROUND(J12*N12,0)</f>
        <v>8044227</v>
      </c>
    </row>
    <row r="13" spans="1:17" ht="30" hidden="1">
      <c r="A13" s="63"/>
      <c r="B13" s="94" t="str">
        <f>'Công trình'!C11</f>
        <v>AF.81122</v>
      </c>
      <c r="C13" s="100"/>
      <c r="D13" s="70">
        <v>0</v>
      </c>
      <c r="E13" s="94" t="str">
        <f>'Công trình'!D11</f>
        <v>Ván khuôn móng cột - Móng vuông, chữ nhật</v>
      </c>
      <c r="F13" s="49"/>
      <c r="G13" s="49"/>
      <c r="H13" s="69"/>
      <c r="I13" s="13">
        <v>1</v>
      </c>
      <c r="J13" s="65">
        <f>'Hao phí vật tư'!L29</f>
        <v>5.9875</v>
      </c>
      <c r="K13" s="46"/>
      <c r="L13" s="90">
        <f>ROUND(J13*K12,2)</f>
        <v>1287312.5</v>
      </c>
      <c r="M13" s="37" t="str">
        <f>'Công trình'!X11</f>
        <v>TH_2021_QD_366_XD</v>
      </c>
      <c r="N13" s="46"/>
      <c r="O13" s="46"/>
      <c r="P13" s="90">
        <f>ROUND(J13*O12,2)</f>
        <v>89812.5</v>
      </c>
      <c r="Q13" s="90">
        <f>ROUND(J13*N12,2)</f>
        <v>1377125</v>
      </c>
    </row>
    <row r="14" spans="1:17" ht="30" hidden="1">
      <c r="A14" s="63"/>
      <c r="B14" s="94" t="str">
        <f>'Công trình'!C15</f>
        <v>AF.61120</v>
      </c>
      <c r="C14" s="100"/>
      <c r="D14" s="70">
        <v>0</v>
      </c>
      <c r="E14" s="94" t="str">
        <f>'Công trình'!D15</f>
        <v>Lắp dựng cốt thép móng, ĐK ≤18mm</v>
      </c>
      <c r="F14" s="49"/>
      <c r="G14" s="49"/>
      <c r="H14" s="69"/>
      <c r="I14" s="13">
        <v>1</v>
      </c>
      <c r="J14" s="65">
        <f>'Hao phí vật tư'!L50</f>
        <v>2.2159</v>
      </c>
      <c r="K14" s="46"/>
      <c r="L14" s="90">
        <f>ROUND(J14*K12,2)</f>
        <v>476418.5</v>
      </c>
      <c r="M14" s="37" t="str">
        <f>'Công trình'!X15</f>
        <v>TH_2021_QD_366_XD</v>
      </c>
      <c r="N14" s="46"/>
      <c r="O14" s="46"/>
      <c r="P14" s="90">
        <f>ROUND(J14*O12,2)</f>
        <v>33238.5</v>
      </c>
      <c r="Q14" s="90">
        <f>ROUND(J14*N12,2)</f>
        <v>509657</v>
      </c>
    </row>
    <row r="15" spans="1:17" ht="30" hidden="1">
      <c r="A15" s="63"/>
      <c r="B15" s="94" t="str">
        <f>'Công trình'!C17</f>
        <v>AF.81132</v>
      </c>
      <c r="C15" s="100"/>
      <c r="D15" s="70">
        <v>0</v>
      </c>
      <c r="E15" s="94" t="str">
        <f>'Công trình'!D17</f>
        <v>Ván khuôn cột - Cột vuông, chữ nhật</v>
      </c>
      <c r="F15" s="49"/>
      <c r="G15" s="49"/>
      <c r="H15" s="69"/>
      <c r="I15" s="13">
        <v>1</v>
      </c>
      <c r="J15" s="65">
        <f>'Hao phí vật tư'!L62</f>
        <v>9.9528</v>
      </c>
      <c r="K15" s="46"/>
      <c r="L15" s="90">
        <f>ROUND(J15*K12,2)</f>
        <v>2139852</v>
      </c>
      <c r="M15" s="37" t="str">
        <f>'Công trình'!X17</f>
        <v>TH_2021_QD_366_XD</v>
      </c>
      <c r="N15" s="46"/>
      <c r="O15" s="46"/>
      <c r="P15" s="90">
        <f>ROUND(J15*O12,2)</f>
        <v>149292</v>
      </c>
      <c r="Q15" s="90">
        <f>ROUND(J15*N12,2)</f>
        <v>2289144</v>
      </c>
    </row>
    <row r="16" spans="1:17" ht="45" hidden="1">
      <c r="A16" s="63"/>
      <c r="B16" s="94" t="str">
        <f>'Công trình'!C19</f>
        <v>AF.12242</v>
      </c>
      <c r="C16" s="100"/>
      <c r="D16" s="70">
        <v>0</v>
      </c>
      <c r="E16" s="94" t="str">
        <f>'Công trình'!D19</f>
        <v>Bê tông cột SX bằng máy trộn, đổ bằng thủ công, TD &gt;0,1m2, chiều cao ≤28m, M200, đá 1x2, PCB40</v>
      </c>
      <c r="F16" s="49"/>
      <c r="G16" s="49"/>
      <c r="H16" s="69"/>
      <c r="I16" s="13">
        <v>1</v>
      </c>
      <c r="J16" s="65">
        <f>'Hao phí vật tư'!L71</f>
        <v>9.4536</v>
      </c>
      <c r="K16" s="46"/>
      <c r="L16" s="90">
        <f>ROUND(J16*K12,2)</f>
        <v>2032524</v>
      </c>
      <c r="M16" s="37" t="str">
        <f>'Công trình'!X19</f>
        <v>TH_2021_QD_366_XD</v>
      </c>
      <c r="N16" s="46"/>
      <c r="O16" s="46"/>
      <c r="P16" s="90">
        <f>ROUND(J16*O12,2)</f>
        <v>141804</v>
      </c>
      <c r="Q16" s="90">
        <f>ROUND(J16*N12,2)</f>
        <v>2174328</v>
      </c>
    </row>
    <row r="17" spans="1:17" ht="30" hidden="1">
      <c r="A17" s="63"/>
      <c r="B17" s="94" t="str">
        <f>'Công trình'!C21</f>
        <v>AF.61412</v>
      </c>
      <c r="C17" s="100"/>
      <c r="D17" s="70">
        <v>0</v>
      </c>
      <c r="E17" s="94" t="str">
        <f>'Công trình'!D21</f>
        <v>Lắp dựng cốt thép cột, trụ, ĐK ≤10mm, chiều cao ≤28m</v>
      </c>
      <c r="F17" s="49"/>
      <c r="G17" s="49"/>
      <c r="H17" s="69"/>
      <c r="I17" s="13">
        <v>1</v>
      </c>
      <c r="J17" s="65">
        <f>'Hao phí vật tư'!L81</f>
        <v>1.3384</v>
      </c>
      <c r="K17" s="46"/>
      <c r="L17" s="90">
        <f>ROUND(J17*K12,2)</f>
        <v>287756</v>
      </c>
      <c r="M17" s="37" t="str">
        <f>'Công trình'!X21</f>
        <v>TH_2021_QD_366_XD</v>
      </c>
      <c r="N17" s="46"/>
      <c r="O17" s="46"/>
      <c r="P17" s="90">
        <f>ROUND(J17*O12,2)</f>
        <v>20076</v>
      </c>
      <c r="Q17" s="90">
        <f>ROUND(J17*N12,2)</f>
        <v>307832</v>
      </c>
    </row>
    <row r="18" spans="1:17" ht="30" hidden="1">
      <c r="A18" s="63"/>
      <c r="B18" s="94" t="str">
        <f>'Công trình'!C23</f>
        <v>AF.61422</v>
      </c>
      <c r="C18" s="100"/>
      <c r="D18" s="70">
        <v>0</v>
      </c>
      <c r="E18" s="94" t="str">
        <f>'Công trình'!D23</f>
        <v>Lắp dựng cốt thép cột, trụ, ĐK ≤18mm, chiều cao ≤28m</v>
      </c>
      <c r="F18" s="49"/>
      <c r="G18" s="49"/>
      <c r="H18" s="69"/>
      <c r="I18" s="13">
        <v>1</v>
      </c>
      <c r="J18" s="65">
        <f>'Hao phí vật tư'!L93</f>
        <v>3.9007</v>
      </c>
      <c r="K18" s="46"/>
      <c r="L18" s="90">
        <f>ROUND(J18*K12,2)</f>
        <v>838650.5</v>
      </c>
      <c r="M18" s="37" t="str">
        <f>'Công trình'!X23</f>
        <v>TH_2021_QD_366_XD</v>
      </c>
      <c r="N18" s="46"/>
      <c r="O18" s="46"/>
      <c r="P18" s="90">
        <f>ROUND(J18*O12,2)</f>
        <v>58510.5</v>
      </c>
      <c r="Q18" s="90">
        <f>ROUND(J18*N12,2)</f>
        <v>897161</v>
      </c>
    </row>
    <row r="19" spans="1:17" ht="30" hidden="1">
      <c r="A19" s="63"/>
      <c r="B19" s="94" t="str">
        <f>'Công trình'!C33</f>
        <v>AF.81122</v>
      </c>
      <c r="C19" s="100"/>
      <c r="D19" s="70">
        <v>0</v>
      </c>
      <c r="E19" s="94" t="str">
        <f>'Công trình'!D33</f>
        <v>Ván khuôn móng cột - Móng vuông, chữ nhật</v>
      </c>
      <c r="F19" s="49"/>
      <c r="G19" s="49"/>
      <c r="H19" s="69"/>
      <c r="I19" s="13">
        <v>1</v>
      </c>
      <c r="J19" s="65">
        <f>'Hao phí vật tư'!L154</f>
        <v>1.0989</v>
      </c>
      <c r="K19" s="46"/>
      <c r="L19" s="90">
        <f>ROUND(J19*K12,2)</f>
        <v>236263.5</v>
      </c>
      <c r="M19" s="37" t="str">
        <f>'Công trình'!X33</f>
        <v>TH_2021_QD_366_XD</v>
      </c>
      <c r="N19" s="46"/>
      <c r="O19" s="46"/>
      <c r="P19" s="90">
        <f>ROUND(J19*O12,2)</f>
        <v>16483.5</v>
      </c>
      <c r="Q19" s="90">
        <f>ROUND(J19*N12,2)</f>
        <v>252747</v>
      </c>
    </row>
    <row r="20" spans="1:17" ht="30" hidden="1">
      <c r="A20" s="63"/>
      <c r="B20" s="94" t="str">
        <f>'Công trình'!C39</f>
        <v>AF.61120</v>
      </c>
      <c r="C20" s="100"/>
      <c r="D20" s="70">
        <v>0</v>
      </c>
      <c r="E20" s="94" t="str">
        <f>'Công trình'!D39</f>
        <v>Lắp dựng cốt thép móng, ĐK ≤18mm</v>
      </c>
      <c r="F20" s="49"/>
      <c r="G20" s="49"/>
      <c r="H20" s="69"/>
      <c r="I20" s="13">
        <v>1</v>
      </c>
      <c r="J20" s="65">
        <f>'Hao phí vật tư'!L183</f>
        <v>0.6358</v>
      </c>
      <c r="K20" s="46"/>
      <c r="L20" s="90">
        <f>ROUND(J20*K12,2)</f>
        <v>136697</v>
      </c>
      <c r="M20" s="37" t="str">
        <f>'Công trình'!X39</f>
        <v>TH_2021_QD_366_XD</v>
      </c>
      <c r="N20" s="46"/>
      <c r="O20" s="46"/>
      <c r="P20" s="90">
        <f>ROUND(J20*O12,2)</f>
        <v>9537</v>
      </c>
      <c r="Q20" s="90">
        <f>ROUND(J20*N12,2)</f>
        <v>146234</v>
      </c>
    </row>
    <row r="21" spans="1:17" ht="30" hidden="1">
      <c r="A21" s="63"/>
      <c r="B21" s="94" t="str">
        <f>'Công trình'!C37</f>
        <v>AF.61110</v>
      </c>
      <c r="C21" s="100"/>
      <c r="D21" s="70">
        <v>0</v>
      </c>
      <c r="E21" s="94" t="str">
        <f>'Công trình'!D37</f>
        <v>Lắp dựng cốt thép móng, ĐK ≤10mm</v>
      </c>
      <c r="F21" s="49"/>
      <c r="G21" s="49"/>
      <c r="H21" s="69"/>
      <c r="I21" s="13">
        <v>1</v>
      </c>
      <c r="J21" s="65">
        <f>'Hao phí vật tư'!L174</f>
        <v>0.3913</v>
      </c>
      <c r="K21" s="46"/>
      <c r="L21" s="90">
        <f>ROUND(J21*K12,2)</f>
        <v>84129.5</v>
      </c>
      <c r="M21" s="37" t="str">
        <f>'Công trình'!X37</f>
        <v>TH_2021_QD_366_XD</v>
      </c>
      <c r="N21" s="46"/>
      <c r="O21" s="46"/>
      <c r="P21" s="90">
        <f>ROUND(J21*O12,2)</f>
        <v>5869.5</v>
      </c>
      <c r="Q21" s="90">
        <f>ROUND(J21*N12,2)</f>
        <v>89999</v>
      </c>
    </row>
    <row r="22" spans="1:17" ht="15">
      <c r="A22" s="63">
        <v>4</v>
      </c>
      <c r="B22" s="9" t="s">
        <v>287</v>
      </c>
      <c r="C22" s="100">
        <v>54</v>
      </c>
      <c r="D22" s="70"/>
      <c r="E22" s="49" t="s">
        <v>522</v>
      </c>
      <c r="F22" s="49"/>
      <c r="G22" s="49"/>
      <c r="H22" s="69" t="s">
        <v>78</v>
      </c>
      <c r="I22" s="100"/>
      <c r="J22" s="19">
        <f>SUM(J23:J23)</f>
        <v>2.1912</v>
      </c>
      <c r="K22" s="46">
        <v>215000</v>
      </c>
      <c r="L22" s="46">
        <f>ROUND(J22*K22,0)</f>
        <v>471108</v>
      </c>
      <c r="M22" s="118">
        <v>1</v>
      </c>
      <c r="N22" s="90">
        <v>230000</v>
      </c>
      <c r="O22" s="46">
        <f>N22-K22</f>
        <v>15000</v>
      </c>
      <c r="P22" s="46">
        <f>ROUND(J22*O22,0)</f>
        <v>32868</v>
      </c>
      <c r="Q22" s="46">
        <f>ROUND(J22*N22,0)</f>
        <v>503976</v>
      </c>
    </row>
    <row r="23" spans="1:17" ht="45" hidden="1">
      <c r="A23" s="63"/>
      <c r="B23" s="94" t="str">
        <f>'Công trình'!C41</f>
        <v>BB.46032</v>
      </c>
      <c r="C23" s="100"/>
      <c r="D23" s="70">
        <v>0</v>
      </c>
      <c r="E23" s="94" t="str">
        <f>'Công trình'!D41</f>
        <v>Lắp đặt ống nhựa HDPE đường kính 140mm, PN8 bằng phương pháp hàn gia nhiệt, chiều dày 6,7mm</v>
      </c>
      <c r="F23" s="49"/>
      <c r="G23" s="49"/>
      <c r="H23" s="69"/>
      <c r="I23" s="13">
        <v>1</v>
      </c>
      <c r="J23" s="65">
        <f>'Hao phí vật tư'!L192</f>
        <v>2.1912</v>
      </c>
      <c r="K23" s="46"/>
      <c r="L23" s="90">
        <f>ROUND(J23*K22,2)</f>
        <v>471108</v>
      </c>
      <c r="M23" s="37" t="str">
        <f>'Công trình'!X41</f>
        <v>TH_2021_QD_366_LD</v>
      </c>
      <c r="N23" s="46"/>
      <c r="O23" s="46"/>
      <c r="P23" s="90">
        <f>ROUND(J23*O22,2)</f>
        <v>32868</v>
      </c>
      <c r="Q23" s="90">
        <f>ROUND(J23*N22,2)</f>
        <v>503976</v>
      </c>
    </row>
    <row r="24" spans="1:17" ht="15">
      <c r="A24" s="63">
        <v>5</v>
      </c>
      <c r="B24" s="9" t="s">
        <v>306</v>
      </c>
      <c r="C24" s="100">
        <v>55</v>
      </c>
      <c r="D24" s="70"/>
      <c r="E24" s="49" t="s">
        <v>483</v>
      </c>
      <c r="F24" s="49"/>
      <c r="G24" s="49"/>
      <c r="H24" s="69" t="s">
        <v>78</v>
      </c>
      <c r="I24" s="100"/>
      <c r="J24" s="19">
        <f>SUM(J25:J26)</f>
        <v>18.0487</v>
      </c>
      <c r="K24" s="46">
        <v>215000</v>
      </c>
      <c r="L24" s="46">
        <f>ROUND(J24*K24,0)</f>
        <v>3880471</v>
      </c>
      <c r="M24" s="118">
        <v>1</v>
      </c>
      <c r="N24" s="90">
        <v>230000</v>
      </c>
      <c r="O24" s="46">
        <f>N24-K24</f>
        <v>15000</v>
      </c>
      <c r="P24" s="46">
        <f>ROUND(J24*O24,0)</f>
        <v>270731</v>
      </c>
      <c r="Q24" s="46">
        <f>ROUND(J24*N24,0)</f>
        <v>4151201</v>
      </c>
    </row>
    <row r="25" spans="1:17" ht="45" hidden="1">
      <c r="A25" s="63"/>
      <c r="B25" s="94" t="str">
        <f>'Công trình'!C13</f>
        <v>AF.14112</v>
      </c>
      <c r="C25" s="100"/>
      <c r="D25" s="70">
        <v>0</v>
      </c>
      <c r="E25" s="94" t="str">
        <f>'Công trình'!D13</f>
        <v>Bê tông móng, mố, trụ trên cạn SX bằng máy trộn, đổ bằng thủ công, bê tông M200, đá 1x2, PCB40</v>
      </c>
      <c r="F25" s="49"/>
      <c r="G25" s="49"/>
      <c r="H25" s="69"/>
      <c r="I25" s="13">
        <v>1</v>
      </c>
      <c r="J25" s="65">
        <f>'Hao phí vật tư'!L38</f>
        <v>12.3379</v>
      </c>
      <c r="K25" s="46"/>
      <c r="L25" s="90">
        <f>ROUND(J25*K24,2)</f>
        <v>2652648.5</v>
      </c>
      <c r="M25" s="37" t="str">
        <f>'Công trình'!X13</f>
        <v>TH_2021_QD_366_XD</v>
      </c>
      <c r="N25" s="46"/>
      <c r="O25" s="46"/>
      <c r="P25" s="90">
        <f>ROUND(J25*O24,2)</f>
        <v>185068.5</v>
      </c>
      <c r="Q25" s="90">
        <f>ROUND(J25*N24,2)</f>
        <v>2837717</v>
      </c>
    </row>
    <row r="26" spans="1:17" ht="45" hidden="1">
      <c r="A26" s="63"/>
      <c r="B26" s="94" t="str">
        <f>'Công trình'!C35</f>
        <v>AF.14132</v>
      </c>
      <c r="C26" s="100"/>
      <c r="D26" s="70">
        <v>0</v>
      </c>
      <c r="E26" s="94" t="str">
        <f>'Công trình'!D35</f>
        <v>Bê tông móng, mố, trụ trên cạn SX bằng máy trộn, đổ bằng thủ công, bê tông M200, đá 2x4, PCB40</v>
      </c>
      <c r="F26" s="49"/>
      <c r="G26" s="49"/>
      <c r="H26" s="69"/>
      <c r="I26" s="13">
        <v>1</v>
      </c>
      <c r="J26" s="65">
        <f>'Hao phí vật tư'!L163</f>
        <v>5.7108</v>
      </c>
      <c r="K26" s="46"/>
      <c r="L26" s="90">
        <f>ROUND(J26*K24,2)</f>
        <v>1227822</v>
      </c>
      <c r="M26" s="37" t="str">
        <f>'Công trình'!X35</f>
        <v>TH_2021_QD_366_XD</v>
      </c>
      <c r="N26" s="46"/>
      <c r="O26" s="46"/>
      <c r="P26" s="90">
        <f>ROUND(J26*O24,2)</f>
        <v>85662</v>
      </c>
      <c r="Q26" s="90">
        <f>ROUND(J26*N24,2)</f>
        <v>1313484</v>
      </c>
    </row>
    <row r="27" spans="1:17" ht="15">
      <c r="A27" s="63">
        <v>6</v>
      </c>
      <c r="B27" s="9" t="s">
        <v>256</v>
      </c>
      <c r="C27" s="100">
        <v>52</v>
      </c>
      <c r="D27" s="70"/>
      <c r="E27" s="49" t="s">
        <v>588</v>
      </c>
      <c r="F27" s="49"/>
      <c r="G27" s="49"/>
      <c r="H27" s="69" t="s">
        <v>78</v>
      </c>
      <c r="I27" s="100"/>
      <c r="J27" s="19">
        <f>SUM(J28:J29)</f>
        <v>7.7973</v>
      </c>
      <c r="K27" s="46">
        <v>233388</v>
      </c>
      <c r="L27" s="46">
        <f>ROUND(J27*K27,0)</f>
        <v>1819796</v>
      </c>
      <c r="M27" s="118">
        <v>1</v>
      </c>
      <c r="N27" s="90">
        <v>249671</v>
      </c>
      <c r="O27" s="46">
        <f>N27-K27</f>
        <v>16283</v>
      </c>
      <c r="P27" s="46">
        <f>ROUND(J27*O27,0)</f>
        <v>126963</v>
      </c>
      <c r="Q27" s="46">
        <f>ROUND(J27*N27,0)</f>
        <v>1946760</v>
      </c>
    </row>
    <row r="28" spans="1:17" ht="30" hidden="1">
      <c r="A28" s="63"/>
      <c r="B28" s="94" t="str">
        <f>'Công trình'!C25</f>
        <v>AI.11121</v>
      </c>
      <c r="C28" s="100"/>
      <c r="D28" s="70">
        <v>0</v>
      </c>
      <c r="E28" s="94" t="str">
        <f>'Công trình'!D25</f>
        <v>Gia công vì kèo thép hình khẩu độ nhỏ, khẩu độ ≤9m</v>
      </c>
      <c r="F28" s="49"/>
      <c r="G28" s="49"/>
      <c r="H28" s="69"/>
      <c r="I28" s="13">
        <v>1</v>
      </c>
      <c r="J28" s="65">
        <f>'Hao phí vật tư'!L109</f>
        <v>6.6372</v>
      </c>
      <c r="K28" s="46"/>
      <c r="L28" s="90">
        <f>ROUND(J28*K27,2)</f>
        <v>1549042.83</v>
      </c>
      <c r="M28" s="37" t="str">
        <f>'Công trình'!X25</f>
        <v>TH_2021_QD_366_XD</v>
      </c>
      <c r="N28" s="46"/>
      <c r="O28" s="46"/>
      <c r="P28" s="90">
        <f>ROUND(J28*O27,2)</f>
        <v>108073.53</v>
      </c>
      <c r="Q28" s="90">
        <f>ROUND(J28*N27,2)</f>
        <v>1657116.36</v>
      </c>
    </row>
    <row r="29" spans="1:17" ht="30" hidden="1">
      <c r="A29" s="127"/>
      <c r="B29" s="24" t="str">
        <f>'Công trình'!C27</f>
        <v>AI.61121</v>
      </c>
      <c r="C29" s="29"/>
      <c r="D29" s="135">
        <v>0</v>
      </c>
      <c r="E29" s="24" t="str">
        <f>'Công trình'!D27</f>
        <v>Lắp vì kèo thép khẩu độ ≤18m</v>
      </c>
      <c r="F29" s="107"/>
      <c r="G29" s="107"/>
      <c r="H29" s="134"/>
      <c r="I29" s="74">
        <v>1</v>
      </c>
      <c r="J29" s="126">
        <f>'Hao phí vật tư'!L125</f>
        <v>1.1601</v>
      </c>
      <c r="K29" s="105"/>
      <c r="L29" s="22">
        <f>ROUND(J29*K27,2)</f>
        <v>270753.42</v>
      </c>
      <c r="M29" s="101" t="str">
        <f>'Công trình'!X27</f>
        <v>TH_2021_QD_366_XD</v>
      </c>
      <c r="N29" s="105"/>
      <c r="O29" s="105"/>
      <c r="P29" s="22">
        <f>ROUND(J29*O27,2)</f>
        <v>18889.91</v>
      </c>
      <c r="Q29" s="22">
        <f>ROUND(J29*N27,2)</f>
        <v>289643.33</v>
      </c>
    </row>
    <row r="30" spans="1:17" ht="15" hidden="1">
      <c r="A30" s="133"/>
      <c r="B30" s="112"/>
      <c r="C30" s="33"/>
      <c r="D30" s="112"/>
      <c r="E30" s="112" t="s">
        <v>210</v>
      </c>
      <c r="F30" s="112"/>
      <c r="G30" s="112"/>
      <c r="H30" s="7"/>
      <c r="I30" s="33"/>
      <c r="J30" s="84"/>
      <c r="K30" s="109"/>
      <c r="L30" s="109">
        <f>ROUND(SUMIF(D6:D29,"&gt;0",L6:L29),0)</f>
        <v>0</v>
      </c>
      <c r="M30" s="56"/>
      <c r="N30" s="109"/>
      <c r="O30" s="109"/>
      <c r="P30" s="109">
        <f>ROUND(SUMIF(D6:D29,"&gt;0",P6:P29),0)</f>
        <v>0</v>
      </c>
      <c r="Q30" s="109">
        <f>ROUND(SUMIF(D6:D29,"&gt;0",Q6:Q29),0)</f>
        <v>0</v>
      </c>
    </row>
    <row r="31" spans="1:17" ht="18" customHeight="1">
      <c r="A31" s="133"/>
      <c r="B31" s="112"/>
      <c r="C31" s="16"/>
      <c r="D31" s="120"/>
      <c r="E31" s="112" t="s">
        <v>247</v>
      </c>
      <c r="F31" s="99"/>
      <c r="G31" s="99"/>
      <c r="H31" s="7"/>
      <c r="I31" s="16"/>
      <c r="J31" s="84"/>
      <c r="K31" s="109"/>
      <c r="L31" s="109">
        <f>ROUND(SUMIF(C6:C29,"&gt;0",L6:L29),0)</f>
        <v>16856380</v>
      </c>
      <c r="M31" s="45"/>
      <c r="N31" s="109"/>
      <c r="O31" s="109"/>
      <c r="P31" s="109">
        <f>ROUND(SUMIF(C6:C29,"&gt;0",P6:P29),0)</f>
        <v>1176703</v>
      </c>
      <c r="Q31" s="109">
        <f>ROUND(SUMIF(C6:C29,"&gt;0",Q6:Q29),0)</f>
        <v>18033081</v>
      </c>
    </row>
    <row r="32" spans="1:17" ht="16.5" customHeight="1">
      <c r="A32" s="128"/>
      <c r="B32" s="104"/>
      <c r="C32" s="25"/>
      <c r="D32" s="104"/>
      <c r="E32" s="104"/>
      <c r="F32" s="104"/>
      <c r="G32" s="104"/>
      <c r="H32" s="128"/>
      <c r="I32" s="25"/>
      <c r="J32" s="25"/>
      <c r="K32" s="25"/>
      <c r="L32" s="25"/>
      <c r="M32" s="51"/>
      <c r="N32" s="25"/>
      <c r="O32" s="25"/>
      <c r="P32" s="25"/>
      <c r="Q32" s="25"/>
    </row>
  </sheetData>
  <sheetProtection/>
  <mergeCells count="4">
    <mergeCell ref="A1:P1"/>
    <mergeCell ref="A2:P2"/>
    <mergeCell ref="A3:P3"/>
    <mergeCell ref="O4:Q4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showZeros="0" zoomScalePageLayoutView="0" workbookViewId="0" topLeftCell="A1">
      <selection activeCell="A1" sqref="A1:Q1"/>
    </sheetView>
  </sheetViews>
  <sheetFormatPr defaultColWidth="9.140625" defaultRowHeight="15"/>
  <cols>
    <col min="1" max="1" width="7.140625" style="130" customWidth="1"/>
    <col min="2" max="2" width="11.8515625" style="130" customWidth="1"/>
    <col min="3" max="3" width="11.140625" style="130" hidden="1" customWidth="1"/>
    <col min="4" max="4" width="45.421875" style="130" customWidth="1"/>
    <col min="5" max="5" width="9.140625" style="130" customWidth="1"/>
    <col min="6" max="6" width="9.00390625" style="130" hidden="1" customWidth="1"/>
    <col min="7" max="7" width="13.421875" style="130" customWidth="1"/>
    <col min="8" max="8" width="14.140625" style="130" customWidth="1"/>
    <col min="9" max="9" width="19.140625" style="130" hidden="1" customWidth="1"/>
    <col min="10" max="10" width="15.00390625" style="130" hidden="1" customWidth="1"/>
    <col min="11" max="11" width="14.8515625" style="130" customWidth="1"/>
    <col min="12" max="12" width="25.00390625" style="130" hidden="1" customWidth="1"/>
    <col min="13" max="13" width="14.57421875" style="130" customWidth="1"/>
    <col min="14" max="14" width="14.00390625" style="130" customWidth="1"/>
    <col min="15" max="15" width="13.28125" style="130" customWidth="1"/>
    <col min="16" max="16" width="14.421875" style="130" customWidth="1"/>
    <col min="17" max="17" width="14.421875" style="130" hidden="1" customWidth="1"/>
    <col min="18" max="16384" width="9.140625" style="130" customWidth="1"/>
  </cols>
  <sheetData>
    <row r="1" spans="1:17" ht="22.5" customHeight="1">
      <c r="A1" s="149" t="s">
        <v>513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9.5" customHeight="1">
      <c r="A2" s="150" t="str">
        <f>'Công trình'!A2</f>
        <v>Công trình: Sửa chữa nâng cấp mương suối Tú, bản Chại, xã Hiền Chung, huyện Quan Hóa, tỉnh Thanh Hóa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8" customHeight="1">
      <c r="A3" s="147" t="str">
        <f>'Công trình'!A3</f>
        <v>HẠNG MỤC: Hạng mục 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6.5" customHeight="1">
      <c r="A4" s="128"/>
      <c r="B4" s="104"/>
      <c r="C4" s="25"/>
      <c r="D4" s="104"/>
      <c r="E4" s="128"/>
      <c r="F4" s="25"/>
      <c r="G4" s="25"/>
      <c r="H4" s="25"/>
      <c r="I4" s="25"/>
      <c r="J4" s="25"/>
      <c r="K4" s="25"/>
      <c r="L4" s="25"/>
      <c r="M4" s="25"/>
      <c r="N4" s="25"/>
      <c r="O4" s="152" t="s">
        <v>554</v>
      </c>
      <c r="P4" s="152"/>
      <c r="Q4" s="152"/>
    </row>
    <row r="5" spans="1:17" ht="18.75" customHeight="1">
      <c r="A5" s="106" t="s">
        <v>576</v>
      </c>
      <c r="B5" s="73" t="s">
        <v>178</v>
      </c>
      <c r="C5" s="5" t="s">
        <v>605</v>
      </c>
      <c r="D5" s="111" t="s">
        <v>54</v>
      </c>
      <c r="E5" s="111" t="s">
        <v>444</v>
      </c>
      <c r="F5" s="5" t="s">
        <v>434</v>
      </c>
      <c r="G5" s="35" t="s">
        <v>84</v>
      </c>
      <c r="H5" s="58" t="s">
        <v>487</v>
      </c>
      <c r="I5" s="82" t="s">
        <v>239</v>
      </c>
      <c r="J5" s="6" t="s">
        <v>455</v>
      </c>
      <c r="K5" s="58" t="s">
        <v>470</v>
      </c>
      <c r="L5" s="82" t="s">
        <v>491</v>
      </c>
      <c r="M5" s="58" t="s">
        <v>448</v>
      </c>
      <c r="N5" s="58" t="s">
        <v>10</v>
      </c>
      <c r="O5" s="58" t="s">
        <v>252</v>
      </c>
      <c r="P5" s="58" t="s">
        <v>291</v>
      </c>
      <c r="Q5" s="58" t="s">
        <v>116</v>
      </c>
    </row>
    <row r="6" spans="1:17" ht="30">
      <c r="A6" s="110">
        <v>1</v>
      </c>
      <c r="B6" s="54" t="s">
        <v>580</v>
      </c>
      <c r="C6" s="12">
        <v>74</v>
      </c>
      <c r="D6" s="91" t="s">
        <v>141</v>
      </c>
      <c r="E6" s="116" t="s">
        <v>79</v>
      </c>
      <c r="F6" s="12"/>
      <c r="G6" s="62">
        <f>SUM(G7:G11)</f>
        <v>2.0371</v>
      </c>
      <c r="H6" s="88">
        <v>342952</v>
      </c>
      <c r="I6" s="88">
        <f>ROUND(G6*H6,0)</f>
        <v>698628</v>
      </c>
      <c r="J6" s="12">
        <v>1</v>
      </c>
      <c r="K6" s="88">
        <f>342952</f>
        <v>342952</v>
      </c>
      <c r="L6" s="88">
        <f>ROUND(G6*K6,0)</f>
        <v>698628</v>
      </c>
      <c r="M6" s="88">
        <v>25327</v>
      </c>
      <c r="N6" s="2">
        <f>K6+M6</f>
        <v>368279</v>
      </c>
      <c r="O6" s="88">
        <f>N6-H6</f>
        <v>25327</v>
      </c>
      <c r="P6" s="88">
        <f>ROUND(G6*O6,0)</f>
        <v>51594</v>
      </c>
      <c r="Q6" s="88">
        <f>ROUND(G6*N6,0)</f>
        <v>750221</v>
      </c>
    </row>
    <row r="7" spans="1:17" ht="30" hidden="1">
      <c r="A7" s="63"/>
      <c r="B7" s="94" t="str">
        <f>'Công trình'!C15</f>
        <v>AF.61120</v>
      </c>
      <c r="C7" s="100"/>
      <c r="D7" s="94" t="str">
        <f>'Công trình'!D15</f>
        <v>Lắp dựng cốt thép móng, ĐK ≤18mm</v>
      </c>
      <c r="E7" s="69"/>
      <c r="F7" s="13">
        <v>1</v>
      </c>
      <c r="G7" s="65">
        <f>'Hao phí vật tư'!M53</f>
        <v>0.3236</v>
      </c>
      <c r="H7" s="46"/>
      <c r="I7" s="90">
        <f>ROUND(G7*H6,2)</f>
        <v>110979.27</v>
      </c>
      <c r="J7" s="13" t="str">
        <f>'Công trình'!X15</f>
        <v>TH_2021_QD_366_XD</v>
      </c>
      <c r="K7" s="46"/>
      <c r="L7" s="90">
        <f>ROUND(G7*K6,2)</f>
        <v>110979.27</v>
      </c>
      <c r="M7" s="46"/>
      <c r="N7" s="46"/>
      <c r="O7" s="46"/>
      <c r="P7" s="90">
        <f>ROUND(G7*O6,2)</f>
        <v>8195.82</v>
      </c>
      <c r="Q7" s="90">
        <f>ROUND(G7*N6,2)</f>
        <v>119175.08</v>
      </c>
    </row>
    <row r="8" spans="1:17" ht="30" hidden="1">
      <c r="A8" s="63"/>
      <c r="B8" s="94" t="str">
        <f>'Công trình'!C23</f>
        <v>AF.61422</v>
      </c>
      <c r="C8" s="100"/>
      <c r="D8" s="94" t="str">
        <f>'Công trình'!D23</f>
        <v>Lắp dựng cốt thép cột, trụ, ĐK ≤18mm, chiều cao ≤28m</v>
      </c>
      <c r="E8" s="69"/>
      <c r="F8" s="13">
        <v>1</v>
      </c>
      <c r="G8" s="65">
        <f>'Hao phí vật tư'!M97</f>
        <v>0.4829</v>
      </c>
      <c r="H8" s="46"/>
      <c r="I8" s="90">
        <f>ROUND(G8*H6,2)</f>
        <v>165611.52</v>
      </c>
      <c r="J8" s="13" t="str">
        <f>'Công trình'!X23</f>
        <v>TH_2021_QD_366_XD</v>
      </c>
      <c r="K8" s="46"/>
      <c r="L8" s="90">
        <f>ROUND(G8*K6,2)</f>
        <v>165611.52</v>
      </c>
      <c r="M8" s="46"/>
      <c r="N8" s="46"/>
      <c r="O8" s="46"/>
      <c r="P8" s="90">
        <f>ROUND(G8*O6,2)</f>
        <v>12230.41</v>
      </c>
      <c r="Q8" s="90">
        <f>ROUND(G8*N6,2)</f>
        <v>177841.93</v>
      </c>
    </row>
    <row r="9" spans="1:17" ht="30" hidden="1">
      <c r="A9" s="63"/>
      <c r="B9" s="94" t="str">
        <f>'Công trình'!C25</f>
        <v>AI.11121</v>
      </c>
      <c r="C9" s="100"/>
      <c r="D9" s="94" t="str">
        <f>'Công trình'!D25</f>
        <v>Gia công vì kèo thép hình khẩu độ nhỏ, khẩu độ ≤9m</v>
      </c>
      <c r="E9" s="69"/>
      <c r="F9" s="13">
        <v>1</v>
      </c>
      <c r="G9" s="65">
        <f>'Hao phí vật tư'!M112</f>
        <v>0.8255</v>
      </c>
      <c r="H9" s="46"/>
      <c r="I9" s="90">
        <f>ROUND(G9*H6,2)</f>
        <v>283106.88</v>
      </c>
      <c r="J9" s="13" t="str">
        <f>'Công trình'!X25</f>
        <v>TH_2021_QD_366_XD</v>
      </c>
      <c r="K9" s="46"/>
      <c r="L9" s="90">
        <f>ROUND(G9*K6,2)</f>
        <v>283106.88</v>
      </c>
      <c r="M9" s="46"/>
      <c r="N9" s="46"/>
      <c r="O9" s="46"/>
      <c r="P9" s="90">
        <f>ROUND(G9*O6,2)</f>
        <v>20907.44</v>
      </c>
      <c r="Q9" s="90">
        <f>ROUND(G9*N6,2)</f>
        <v>304014.31</v>
      </c>
    </row>
    <row r="10" spans="1:17" ht="30" hidden="1">
      <c r="A10" s="63"/>
      <c r="B10" s="94" t="str">
        <f>'Công trình'!C27</f>
        <v>AI.61121</v>
      </c>
      <c r="C10" s="100"/>
      <c r="D10" s="94" t="str">
        <f>'Công trình'!D27</f>
        <v>Lắp vì kèo thép khẩu độ ≤18m</v>
      </c>
      <c r="E10" s="69"/>
      <c r="F10" s="13">
        <v>1</v>
      </c>
      <c r="G10" s="65">
        <f>'Hao phí vật tư'!M129</f>
        <v>0.3123</v>
      </c>
      <c r="H10" s="46"/>
      <c r="I10" s="90">
        <f>ROUND(G10*H6,2)</f>
        <v>107103.91</v>
      </c>
      <c r="J10" s="13" t="str">
        <f>'Công trình'!X27</f>
        <v>TH_2021_QD_366_XD</v>
      </c>
      <c r="K10" s="46"/>
      <c r="L10" s="90">
        <f>ROUND(G10*K6,2)</f>
        <v>107103.91</v>
      </c>
      <c r="M10" s="46"/>
      <c r="N10" s="46"/>
      <c r="O10" s="46"/>
      <c r="P10" s="90">
        <f>ROUND(G10*O6,2)</f>
        <v>7909.62</v>
      </c>
      <c r="Q10" s="90">
        <f>ROUND(G10*N6,2)</f>
        <v>115013.53</v>
      </c>
    </row>
    <row r="11" spans="1:17" ht="30" hidden="1">
      <c r="A11" s="63"/>
      <c r="B11" s="94" t="str">
        <f>'Công trình'!C39</f>
        <v>AF.61120</v>
      </c>
      <c r="C11" s="100"/>
      <c r="D11" s="94" t="str">
        <f>'Công trình'!D39</f>
        <v>Lắp dựng cốt thép móng, ĐK ≤18mm</v>
      </c>
      <c r="E11" s="69"/>
      <c r="F11" s="13">
        <v>1</v>
      </c>
      <c r="G11" s="65">
        <f>'Hao phí vật tư'!M186</f>
        <v>0.0928</v>
      </c>
      <c r="H11" s="46"/>
      <c r="I11" s="90">
        <f>ROUND(G11*H6,2)</f>
        <v>31825.95</v>
      </c>
      <c r="J11" s="13" t="str">
        <f>'Công trình'!X39</f>
        <v>TH_2021_QD_366_XD</v>
      </c>
      <c r="K11" s="46"/>
      <c r="L11" s="90">
        <f>ROUND(G11*K6,2)</f>
        <v>31825.95</v>
      </c>
      <c r="M11" s="46"/>
      <c r="N11" s="46"/>
      <c r="O11" s="46"/>
      <c r="P11" s="90">
        <f>ROUND(G11*O6,2)</f>
        <v>2350.35</v>
      </c>
      <c r="Q11" s="90">
        <f>ROUND(G11*N6,2)</f>
        <v>34176.29</v>
      </c>
    </row>
    <row r="12" spans="1:17" ht="30">
      <c r="A12" s="63">
        <v>2</v>
      </c>
      <c r="B12" s="9" t="s">
        <v>394</v>
      </c>
      <c r="C12" s="100">
        <v>63</v>
      </c>
      <c r="D12" s="49" t="s">
        <v>584</v>
      </c>
      <c r="E12" s="69" t="s">
        <v>79</v>
      </c>
      <c r="F12" s="100"/>
      <c r="G12" s="19">
        <f>SUM(G13:G14)</f>
        <v>0.3982</v>
      </c>
      <c r="H12" s="46">
        <v>1328264</v>
      </c>
      <c r="I12" s="46">
        <f>ROUND(G12*H12,0)</f>
        <v>528915</v>
      </c>
      <c r="J12" s="100">
        <v>1</v>
      </c>
      <c r="K12" s="46">
        <f>1328264</f>
        <v>1328264</v>
      </c>
      <c r="L12" s="46">
        <f>ROUND(G12*K12,0)</f>
        <v>528915</v>
      </c>
      <c r="M12" s="46"/>
      <c r="N12" s="46">
        <f>K12+M12</f>
        <v>1328264</v>
      </c>
      <c r="O12" s="46">
        <f>N12-H12</f>
        <v>0</v>
      </c>
      <c r="P12" s="46">
        <f>ROUND(G12*O12,0)</f>
        <v>0</v>
      </c>
      <c r="Q12" s="46">
        <f>ROUND(G12*N12,0)</f>
        <v>528915</v>
      </c>
    </row>
    <row r="13" spans="1:17" ht="30" hidden="1">
      <c r="A13" s="63"/>
      <c r="B13" s="94" t="str">
        <f>'Công trình'!C13</f>
        <v>AF.14112</v>
      </c>
      <c r="C13" s="100"/>
      <c r="D13" s="94" t="str">
        <f>'Công trình'!D13</f>
        <v>Bê tông móng, mố, trụ trên cạn SX bằng máy trộn, đổ bằng thủ công, bê tông M200, đá 1x2, PCB40</v>
      </c>
      <c r="E13" s="69"/>
      <c r="F13" s="13">
        <v>1</v>
      </c>
      <c r="G13" s="65">
        <f>'Hao phí vật tư'!M40</f>
        <v>0.2722</v>
      </c>
      <c r="H13" s="46"/>
      <c r="I13" s="90">
        <f>ROUND(G13*H12,2)</f>
        <v>361553.46</v>
      </c>
      <c r="J13" s="13" t="str">
        <f>'Công trình'!X13</f>
        <v>TH_2021_QD_366_XD</v>
      </c>
      <c r="K13" s="46"/>
      <c r="L13" s="90">
        <f>ROUND(G13*K12,2)</f>
        <v>361553.46</v>
      </c>
      <c r="M13" s="46"/>
      <c r="N13" s="46"/>
      <c r="O13" s="46"/>
      <c r="P13" s="90">
        <f>ROUND(G13*O12,2)</f>
        <v>0</v>
      </c>
      <c r="Q13" s="90">
        <f>ROUND(G13*N12,2)</f>
        <v>361553.46</v>
      </c>
    </row>
    <row r="14" spans="1:17" ht="30" hidden="1">
      <c r="A14" s="63"/>
      <c r="B14" s="94" t="str">
        <f>'Công trình'!C35</f>
        <v>AF.14132</v>
      </c>
      <c r="C14" s="100"/>
      <c r="D14" s="94" t="str">
        <f>'Công trình'!D35</f>
        <v>Bê tông móng, mố, trụ trên cạn SX bằng máy trộn, đổ bằng thủ công, bê tông M200, đá 2x4, PCB40</v>
      </c>
      <c r="E14" s="69"/>
      <c r="F14" s="13">
        <v>1</v>
      </c>
      <c r="G14" s="65">
        <f>'Hao phí vật tư'!M165</f>
        <v>0.126</v>
      </c>
      <c r="H14" s="46"/>
      <c r="I14" s="90">
        <f>ROUND(G14*H12,2)</f>
        <v>167361.26</v>
      </c>
      <c r="J14" s="13" t="str">
        <f>'Công trình'!X35</f>
        <v>TH_2021_QD_366_XD</v>
      </c>
      <c r="K14" s="46"/>
      <c r="L14" s="90">
        <f>ROUND(G14*K12,2)</f>
        <v>167361.26</v>
      </c>
      <c r="M14" s="46"/>
      <c r="N14" s="46"/>
      <c r="O14" s="46"/>
      <c r="P14" s="90">
        <f>ROUND(G14*O12,2)</f>
        <v>0</v>
      </c>
      <c r="Q14" s="90">
        <f>ROUND(G14*N12,2)</f>
        <v>167361.26</v>
      </c>
    </row>
    <row r="15" spans="1:17" ht="15">
      <c r="A15" s="63">
        <v>3</v>
      </c>
      <c r="B15" s="9" t="s">
        <v>125</v>
      </c>
      <c r="C15" s="100">
        <v>64</v>
      </c>
      <c r="D15" s="49" t="s">
        <v>267</v>
      </c>
      <c r="E15" s="69" t="s">
        <v>79</v>
      </c>
      <c r="F15" s="100"/>
      <c r="G15" s="19">
        <f>SUM(G16:G16)</f>
        <v>0.1611</v>
      </c>
      <c r="H15" s="46">
        <v>1381855</v>
      </c>
      <c r="I15" s="46">
        <f>ROUND(G15*H15,0)</f>
        <v>222617</v>
      </c>
      <c r="J15" s="100">
        <v>1</v>
      </c>
      <c r="K15" s="46">
        <f>1381855</f>
        <v>1381855</v>
      </c>
      <c r="L15" s="46">
        <f>ROUND(G15*K15,0)</f>
        <v>222617</v>
      </c>
      <c r="M15" s="46"/>
      <c r="N15" s="46">
        <f>K15+M15</f>
        <v>1381855</v>
      </c>
      <c r="O15" s="46">
        <f>N15-H15</f>
        <v>0</v>
      </c>
      <c r="P15" s="46">
        <f>ROUND(G15*O15,0)</f>
        <v>0</v>
      </c>
      <c r="Q15" s="46">
        <f>ROUND(G15*N15,0)</f>
        <v>222617</v>
      </c>
    </row>
    <row r="16" spans="1:17" ht="30" hidden="1">
      <c r="A16" s="63"/>
      <c r="B16" s="94" t="str">
        <f>'Công trình'!C25</f>
        <v>AI.11121</v>
      </c>
      <c r="C16" s="100"/>
      <c r="D16" s="94" t="str">
        <f>'Công trình'!D25</f>
        <v>Gia công vì kèo thép hình khẩu độ nhỏ, khẩu độ ≤9m</v>
      </c>
      <c r="E16" s="69"/>
      <c r="F16" s="13">
        <v>1</v>
      </c>
      <c r="G16" s="65">
        <f>'Hao phí vật tư'!M111</f>
        <v>0.1611</v>
      </c>
      <c r="H16" s="46"/>
      <c r="I16" s="90">
        <f>ROUND(G16*H15,2)</f>
        <v>222616.84</v>
      </c>
      <c r="J16" s="13" t="str">
        <f>'Công trình'!X25</f>
        <v>TH_2021_QD_366_XD</v>
      </c>
      <c r="K16" s="46"/>
      <c r="L16" s="90">
        <f>ROUND(G16*K15,2)</f>
        <v>222616.84</v>
      </c>
      <c r="M16" s="46"/>
      <c r="N16" s="46"/>
      <c r="O16" s="46"/>
      <c r="P16" s="90">
        <f>ROUND(G16*O15,2)</f>
        <v>0</v>
      </c>
      <c r="Q16" s="90">
        <f>ROUND(G16*N15,2)</f>
        <v>222616.84</v>
      </c>
    </row>
    <row r="17" spans="1:17" ht="15">
      <c r="A17" s="63">
        <v>4</v>
      </c>
      <c r="B17" s="9" t="s">
        <v>34</v>
      </c>
      <c r="C17" s="100">
        <v>62</v>
      </c>
      <c r="D17" s="49" t="s">
        <v>104</v>
      </c>
      <c r="E17" s="69" t="s">
        <v>79</v>
      </c>
      <c r="F17" s="100"/>
      <c r="G17" s="19">
        <f>SUM(G18:G18)</f>
        <v>0.0669</v>
      </c>
      <c r="H17" s="46">
        <v>1545614</v>
      </c>
      <c r="I17" s="46">
        <f>ROUND(G17*H17,0)</f>
        <v>103402</v>
      </c>
      <c r="J17" s="100">
        <v>1</v>
      </c>
      <c r="K17" s="46">
        <f>1545614</f>
        <v>1545614</v>
      </c>
      <c r="L17" s="46">
        <f>ROUND(G17*K17,0)</f>
        <v>103402</v>
      </c>
      <c r="M17" s="46"/>
      <c r="N17" s="46">
        <f>K17+M17</f>
        <v>1545614</v>
      </c>
      <c r="O17" s="46">
        <f>N17-H17</f>
        <v>0</v>
      </c>
      <c r="P17" s="46">
        <f>ROUND(G17*O17,0)</f>
        <v>0</v>
      </c>
      <c r="Q17" s="46">
        <f>ROUND(G17*N17,0)</f>
        <v>103402</v>
      </c>
    </row>
    <row r="18" spans="1:17" ht="30" hidden="1">
      <c r="A18" s="63"/>
      <c r="B18" s="94" t="str">
        <f>'Công trình'!C27</f>
        <v>AI.61121</v>
      </c>
      <c r="C18" s="100"/>
      <c r="D18" s="94" t="str">
        <f>'Công trình'!D27</f>
        <v>Lắp vì kèo thép khẩu độ ≤18m</v>
      </c>
      <c r="E18" s="69"/>
      <c r="F18" s="13">
        <v>1</v>
      </c>
      <c r="G18" s="65">
        <f>'Hao phí vật tư'!M127</f>
        <v>0.0669</v>
      </c>
      <c r="H18" s="46"/>
      <c r="I18" s="90">
        <f>ROUND(G18*H17,2)</f>
        <v>103401.58</v>
      </c>
      <c r="J18" s="13" t="str">
        <f>'Công trình'!X27</f>
        <v>TH_2021_QD_366_XD</v>
      </c>
      <c r="K18" s="46"/>
      <c r="L18" s="90">
        <f>ROUND(G18*K17,2)</f>
        <v>103401.58</v>
      </c>
      <c r="M18" s="46"/>
      <c r="N18" s="46"/>
      <c r="O18" s="46"/>
      <c r="P18" s="90">
        <f>ROUND(G18*O17,2)</f>
        <v>0</v>
      </c>
      <c r="Q18" s="90">
        <f>ROUND(G18*N17,2)</f>
        <v>103401.58</v>
      </c>
    </row>
    <row r="19" spans="1:17" ht="15">
      <c r="A19" s="63">
        <v>5</v>
      </c>
      <c r="B19" s="9" t="s">
        <v>404</v>
      </c>
      <c r="C19" s="100">
        <v>65</v>
      </c>
      <c r="D19" s="49" t="s">
        <v>472</v>
      </c>
      <c r="E19" s="69" t="s">
        <v>79</v>
      </c>
      <c r="F19" s="100"/>
      <c r="G19" s="19">
        <f>SUM(G20:G21)</f>
        <v>0.0064</v>
      </c>
      <c r="H19" s="46">
        <v>2212863</v>
      </c>
      <c r="I19" s="46">
        <f>ROUND(G19*H19,0)</f>
        <v>14162</v>
      </c>
      <c r="J19" s="100">
        <v>1</v>
      </c>
      <c r="K19" s="46">
        <f>2212863</f>
        <v>2212863</v>
      </c>
      <c r="L19" s="46">
        <f>ROUND(G19*K19,0)</f>
        <v>14162</v>
      </c>
      <c r="M19" s="46"/>
      <c r="N19" s="46">
        <f>K19+M19</f>
        <v>2212863</v>
      </c>
      <c r="O19" s="46">
        <f>N19-H19</f>
        <v>0</v>
      </c>
      <c r="P19" s="46">
        <f>ROUND(G19*O19,0)</f>
        <v>0</v>
      </c>
      <c r="Q19" s="46">
        <f>ROUND(G19*N19,0)</f>
        <v>14162</v>
      </c>
    </row>
    <row r="20" spans="1:17" ht="30" hidden="1">
      <c r="A20" s="63"/>
      <c r="B20" s="94" t="str">
        <f>'Công trình'!C21</f>
        <v>AF.61412</v>
      </c>
      <c r="C20" s="100"/>
      <c r="D20" s="94" t="str">
        <f>'Công trình'!D21</f>
        <v>Lắp dựng cốt thép cột, trụ, ĐK ≤10mm, chiều cao ≤28m</v>
      </c>
      <c r="E20" s="69"/>
      <c r="F20" s="13">
        <v>1</v>
      </c>
      <c r="G20" s="65">
        <f>'Hao phí vật tư'!M83</f>
        <v>0.0014</v>
      </c>
      <c r="H20" s="46"/>
      <c r="I20" s="90">
        <f>ROUND(G20*H19,2)</f>
        <v>3098.01</v>
      </c>
      <c r="J20" s="13" t="str">
        <f>'Công trình'!X21</f>
        <v>TH_2021_QD_366_XD</v>
      </c>
      <c r="K20" s="46"/>
      <c r="L20" s="90">
        <f>ROUND(G20*K19,2)</f>
        <v>3098.01</v>
      </c>
      <c r="M20" s="46"/>
      <c r="N20" s="46"/>
      <c r="O20" s="46"/>
      <c r="P20" s="90">
        <f>ROUND(G20*O19,2)</f>
        <v>0</v>
      </c>
      <c r="Q20" s="90">
        <f>ROUND(G20*N19,2)</f>
        <v>3098.01</v>
      </c>
    </row>
    <row r="21" spans="1:17" ht="30" hidden="1">
      <c r="A21" s="63"/>
      <c r="B21" s="94" t="str">
        <f>'Công trình'!C23</f>
        <v>AF.61422</v>
      </c>
      <c r="C21" s="100"/>
      <c r="D21" s="94" t="str">
        <f>'Công trình'!D23</f>
        <v>Lắp dựng cốt thép cột, trụ, ĐK ≤18mm, chiều cao ≤28m</v>
      </c>
      <c r="E21" s="69"/>
      <c r="F21" s="13">
        <v>1</v>
      </c>
      <c r="G21" s="65">
        <f>'Hao phí vật tư'!M95</f>
        <v>0.005</v>
      </c>
      <c r="H21" s="46"/>
      <c r="I21" s="90">
        <f>ROUND(G21*H19,2)</f>
        <v>11064.32</v>
      </c>
      <c r="J21" s="13" t="str">
        <f>'Công trình'!X23</f>
        <v>TH_2021_QD_366_XD</v>
      </c>
      <c r="K21" s="46"/>
      <c r="L21" s="90">
        <f>ROUND(G21*K19,2)</f>
        <v>11064.32</v>
      </c>
      <c r="M21" s="46"/>
      <c r="N21" s="46"/>
      <c r="O21" s="46"/>
      <c r="P21" s="90">
        <f>ROUND(G21*O19,2)</f>
        <v>0</v>
      </c>
      <c r="Q21" s="90">
        <f>ROUND(G21*N19,2)</f>
        <v>11064.32</v>
      </c>
    </row>
    <row r="22" spans="1:17" ht="15">
      <c r="A22" s="63">
        <v>6</v>
      </c>
      <c r="B22" s="9" t="s">
        <v>294</v>
      </c>
      <c r="C22" s="100">
        <v>73</v>
      </c>
      <c r="D22" s="49" t="s">
        <v>572</v>
      </c>
      <c r="E22" s="69" t="s">
        <v>79</v>
      </c>
      <c r="F22" s="100"/>
      <c r="G22" s="19">
        <f>SUM(G23:G27)</f>
        <v>0.30360000000000004</v>
      </c>
      <c r="H22" s="46">
        <v>229294</v>
      </c>
      <c r="I22" s="46">
        <f>ROUND(G22*H22,0)</f>
        <v>69614</v>
      </c>
      <c r="J22" s="100">
        <v>1</v>
      </c>
      <c r="K22" s="46">
        <f>229294</f>
        <v>229294</v>
      </c>
      <c r="L22" s="46">
        <f>ROUND(G22*K22,0)</f>
        <v>69614</v>
      </c>
      <c r="M22" s="46">
        <v>15413</v>
      </c>
      <c r="N22" s="90">
        <f>K22+M22</f>
        <v>244707</v>
      </c>
      <c r="O22" s="46">
        <f>N22-H22</f>
        <v>15413</v>
      </c>
      <c r="P22" s="46">
        <f>ROUND(G22*O22,0)</f>
        <v>4679</v>
      </c>
      <c r="Q22" s="46">
        <f>ROUND(G22*N22,0)</f>
        <v>74293</v>
      </c>
    </row>
    <row r="23" spans="1:17" ht="30" hidden="1">
      <c r="A23" s="63"/>
      <c r="B23" s="94" t="str">
        <f>'Công trình'!C15</f>
        <v>AF.61120</v>
      </c>
      <c r="C23" s="100"/>
      <c r="D23" s="94" t="str">
        <f>'Công trình'!D15</f>
        <v>Lắp dựng cốt thép móng, ĐK ≤18mm</v>
      </c>
      <c r="E23" s="69"/>
      <c r="F23" s="13">
        <v>1</v>
      </c>
      <c r="G23" s="65">
        <f>'Hao phí vật tư'!M52</f>
        <v>0.0924</v>
      </c>
      <c r="H23" s="46"/>
      <c r="I23" s="90">
        <f>ROUND(G23*H22,2)</f>
        <v>21186.77</v>
      </c>
      <c r="J23" s="13" t="str">
        <f>'Công trình'!X15</f>
        <v>TH_2021_QD_366_XD</v>
      </c>
      <c r="K23" s="46"/>
      <c r="L23" s="90">
        <f>ROUND(G23*K22,2)</f>
        <v>21186.77</v>
      </c>
      <c r="M23" s="46"/>
      <c r="N23" s="46"/>
      <c r="O23" s="46"/>
      <c r="P23" s="90">
        <f>ROUND(G23*O22,2)</f>
        <v>1424.16</v>
      </c>
      <c r="Q23" s="90">
        <f>ROUND(G23*N22,2)</f>
        <v>22610.93</v>
      </c>
    </row>
    <row r="24" spans="1:17" ht="30" hidden="1">
      <c r="A24" s="63"/>
      <c r="B24" s="94" t="str">
        <f>'Công trình'!C21</f>
        <v>AF.61412</v>
      </c>
      <c r="C24" s="100"/>
      <c r="D24" s="94" t="str">
        <f>'Công trình'!D21</f>
        <v>Lắp dựng cốt thép cột, trụ, ĐK ≤10mm, chiều cao ≤28m</v>
      </c>
      <c r="E24" s="69"/>
      <c r="F24" s="13">
        <v>1</v>
      </c>
      <c r="G24" s="65">
        <f>'Hao phí vật tư'!M84</f>
        <v>0.0369</v>
      </c>
      <c r="H24" s="46"/>
      <c r="I24" s="90">
        <f>ROUND(G24*H22,2)</f>
        <v>8460.95</v>
      </c>
      <c r="J24" s="13" t="str">
        <f>'Công trình'!X21</f>
        <v>TH_2021_QD_366_XD</v>
      </c>
      <c r="K24" s="46"/>
      <c r="L24" s="90">
        <f>ROUND(G24*K22,2)</f>
        <v>8460.95</v>
      </c>
      <c r="M24" s="46"/>
      <c r="N24" s="46"/>
      <c r="O24" s="46"/>
      <c r="P24" s="90">
        <f>ROUND(G24*O22,2)</f>
        <v>568.74</v>
      </c>
      <c r="Q24" s="90">
        <f>ROUND(G24*N22,2)</f>
        <v>9029.69</v>
      </c>
    </row>
    <row r="25" spans="1:17" ht="30" hidden="1">
      <c r="A25" s="63"/>
      <c r="B25" s="94" t="str">
        <f>'Công trình'!C23</f>
        <v>AF.61422</v>
      </c>
      <c r="C25" s="100"/>
      <c r="D25" s="94" t="str">
        <f>'Công trình'!D23</f>
        <v>Lắp dựng cốt thép cột, trụ, ĐK ≤18mm, chiều cao ≤28m</v>
      </c>
      <c r="E25" s="69"/>
      <c r="F25" s="13">
        <v>1</v>
      </c>
      <c r="G25" s="65">
        <f>'Hao phí vật tư'!M98</f>
        <v>0.1332</v>
      </c>
      <c r="H25" s="46"/>
      <c r="I25" s="90">
        <f>ROUND(G25*H22,2)</f>
        <v>30541.96</v>
      </c>
      <c r="J25" s="13" t="str">
        <f>'Công trình'!X23</f>
        <v>TH_2021_QD_366_XD</v>
      </c>
      <c r="K25" s="46"/>
      <c r="L25" s="90">
        <f>ROUND(G25*K22,2)</f>
        <v>30541.96</v>
      </c>
      <c r="M25" s="46"/>
      <c r="N25" s="46"/>
      <c r="O25" s="46"/>
      <c r="P25" s="90">
        <f>ROUND(G25*O22,2)</f>
        <v>2053.01</v>
      </c>
      <c r="Q25" s="90">
        <f>ROUND(G25*N22,2)</f>
        <v>32594.97</v>
      </c>
    </row>
    <row r="26" spans="1:17" ht="30" hidden="1">
      <c r="A26" s="63"/>
      <c r="B26" s="94" t="str">
        <f>'Công trình'!C39</f>
        <v>AF.61120</v>
      </c>
      <c r="C26" s="100"/>
      <c r="D26" s="94" t="str">
        <f>'Công trình'!D39</f>
        <v>Lắp dựng cốt thép móng, ĐK ≤18mm</v>
      </c>
      <c r="E26" s="69"/>
      <c r="F26" s="13">
        <v>1</v>
      </c>
      <c r="G26" s="65">
        <f>'Hao phí vật tư'!M185</f>
        <v>0.0265</v>
      </c>
      <c r="H26" s="46"/>
      <c r="I26" s="90">
        <f>ROUND(G26*H22,2)</f>
        <v>6076.29</v>
      </c>
      <c r="J26" s="13" t="str">
        <f>'Công trình'!X39</f>
        <v>TH_2021_QD_366_XD</v>
      </c>
      <c r="K26" s="46"/>
      <c r="L26" s="90">
        <f>ROUND(G26*K22,2)</f>
        <v>6076.29</v>
      </c>
      <c r="M26" s="46"/>
      <c r="N26" s="46"/>
      <c r="O26" s="46"/>
      <c r="P26" s="90">
        <f>ROUND(G26*O22,2)</f>
        <v>408.44</v>
      </c>
      <c r="Q26" s="90">
        <f>ROUND(G26*N22,2)</f>
        <v>6484.74</v>
      </c>
    </row>
    <row r="27" spans="1:17" ht="30" hidden="1">
      <c r="A27" s="63"/>
      <c r="B27" s="94" t="str">
        <f>'Công trình'!C37</f>
        <v>AF.61110</v>
      </c>
      <c r="C27" s="100"/>
      <c r="D27" s="94" t="str">
        <f>'Công trình'!D37</f>
        <v>Lắp dựng cốt thép móng, ĐK ≤10mm</v>
      </c>
      <c r="E27" s="69"/>
      <c r="F27" s="13">
        <v>1</v>
      </c>
      <c r="G27" s="65">
        <f>'Hao phí vật tư'!M176</f>
        <v>0.0146</v>
      </c>
      <c r="H27" s="46"/>
      <c r="I27" s="90">
        <f>ROUND(G27*H22,2)</f>
        <v>3347.69</v>
      </c>
      <c r="J27" s="13" t="str">
        <f>'Công trình'!X37</f>
        <v>TH_2021_QD_366_XD</v>
      </c>
      <c r="K27" s="46"/>
      <c r="L27" s="90">
        <f>ROUND(G27*K22,2)</f>
        <v>3347.69</v>
      </c>
      <c r="M27" s="46"/>
      <c r="N27" s="46"/>
      <c r="O27" s="46"/>
      <c r="P27" s="90">
        <f>ROUND(G27*O22,2)</f>
        <v>225.03</v>
      </c>
      <c r="Q27" s="90">
        <f>ROUND(G27*N22,2)</f>
        <v>3572.72</v>
      </c>
    </row>
    <row r="28" spans="1:17" ht="15">
      <c r="A28" s="63">
        <v>7</v>
      </c>
      <c r="B28" s="9" t="s">
        <v>136</v>
      </c>
      <c r="C28" s="100">
        <v>70</v>
      </c>
      <c r="D28" s="49" t="s">
        <v>361</v>
      </c>
      <c r="E28" s="69" t="s">
        <v>79</v>
      </c>
      <c r="F28" s="100"/>
      <c r="G28" s="19">
        <f>SUM(G29:G30)</f>
        <v>0.092</v>
      </c>
      <c r="H28" s="46">
        <v>221637</v>
      </c>
      <c r="I28" s="46">
        <f>ROUND(G28*H28,0)</f>
        <v>20391</v>
      </c>
      <c r="J28" s="100">
        <v>1</v>
      </c>
      <c r="K28" s="46">
        <f>221637</f>
        <v>221637</v>
      </c>
      <c r="L28" s="46">
        <f>ROUND(G28*K28,0)</f>
        <v>20391</v>
      </c>
      <c r="M28" s="46">
        <v>14659</v>
      </c>
      <c r="N28" s="90">
        <f>K28+M28</f>
        <v>236296</v>
      </c>
      <c r="O28" s="46">
        <f>N28-H28</f>
        <v>14659</v>
      </c>
      <c r="P28" s="46">
        <f>ROUND(G28*O28,0)</f>
        <v>1349</v>
      </c>
      <c r="Q28" s="46">
        <f>ROUND(G28*N28,0)</f>
        <v>21739</v>
      </c>
    </row>
    <row r="29" spans="1:17" ht="30" hidden="1">
      <c r="A29" s="63"/>
      <c r="B29" s="94" t="str">
        <f>'Công trình'!C9</f>
        <v>AF.11110</v>
      </c>
      <c r="C29" s="100"/>
      <c r="D29" s="94" t="str">
        <f>'Công trình'!D9</f>
        <v>Bê tông lót móng SX bằng máy trộn, đổ bằng thủ công, rộng ≤250cm, M100, đá 4x6, PCB30</v>
      </c>
      <c r="E29" s="69"/>
      <c r="F29" s="13">
        <v>1</v>
      </c>
      <c r="G29" s="65">
        <f>'Hao phí vật tư'!M20</f>
        <v>0.0523</v>
      </c>
      <c r="H29" s="46"/>
      <c r="I29" s="90">
        <f>ROUND(G29*H28,2)</f>
        <v>11591.62</v>
      </c>
      <c r="J29" s="13" t="str">
        <f>'Công trình'!X9</f>
        <v>TH_2021_QD_366_XD</v>
      </c>
      <c r="K29" s="46"/>
      <c r="L29" s="90">
        <f>ROUND(G29*K28,2)</f>
        <v>11591.62</v>
      </c>
      <c r="M29" s="46"/>
      <c r="N29" s="46"/>
      <c r="O29" s="46"/>
      <c r="P29" s="90">
        <f>ROUND(G29*O28,2)</f>
        <v>766.67</v>
      </c>
      <c r="Q29" s="90">
        <f>ROUND(G29*N28,2)</f>
        <v>12358.28</v>
      </c>
    </row>
    <row r="30" spans="1:17" ht="30" hidden="1">
      <c r="A30" s="63"/>
      <c r="B30" s="94" t="str">
        <f>'Công trình'!C31</f>
        <v>AF.11110</v>
      </c>
      <c r="C30" s="100"/>
      <c r="D30" s="94" t="str">
        <f>'Công trình'!D31</f>
        <v>Bê tông lót móng SX bằng máy trộn, đổ bằng thủ công, rộng ≤250cm, M100, đá 4x6, PCB30</v>
      </c>
      <c r="E30" s="69"/>
      <c r="F30" s="13">
        <v>1</v>
      </c>
      <c r="G30" s="65">
        <f>'Hao phí vật tư'!M145</f>
        <v>0.0397</v>
      </c>
      <c r="H30" s="46"/>
      <c r="I30" s="90">
        <f>ROUND(G30*H28,2)</f>
        <v>8798.99</v>
      </c>
      <c r="J30" s="13" t="str">
        <f>'Công trình'!X31</f>
        <v>TH_2021_QD_366_XD</v>
      </c>
      <c r="K30" s="46"/>
      <c r="L30" s="90">
        <f>ROUND(G30*K28,2)</f>
        <v>8798.99</v>
      </c>
      <c r="M30" s="46"/>
      <c r="N30" s="46"/>
      <c r="O30" s="46"/>
      <c r="P30" s="90">
        <f>ROUND(G30*O28,2)</f>
        <v>581.96</v>
      </c>
      <c r="Q30" s="90">
        <f>ROUND(G30*N28,2)</f>
        <v>9380.95</v>
      </c>
    </row>
    <row r="31" spans="1:17" ht="30">
      <c r="A31" s="63">
        <v>8</v>
      </c>
      <c r="B31" s="9" t="s">
        <v>204</v>
      </c>
      <c r="C31" s="100">
        <v>71</v>
      </c>
      <c r="D31" s="49" t="s">
        <v>275</v>
      </c>
      <c r="E31" s="69" t="s">
        <v>79</v>
      </c>
      <c r="F31" s="100"/>
      <c r="G31" s="19">
        <f>SUM(G32:G34)</f>
        <v>1.4114</v>
      </c>
      <c r="H31" s="46">
        <v>225167</v>
      </c>
      <c r="I31" s="46">
        <f>ROUND(G31*H31,0)</f>
        <v>317801</v>
      </c>
      <c r="J31" s="100">
        <v>1</v>
      </c>
      <c r="K31" s="46">
        <f>225167</f>
        <v>225167</v>
      </c>
      <c r="L31" s="46">
        <f>ROUND(G31*K31,0)</f>
        <v>317801</v>
      </c>
      <c r="M31" s="46">
        <v>15036</v>
      </c>
      <c r="N31" s="90">
        <f>K31+M31</f>
        <v>240203</v>
      </c>
      <c r="O31" s="46">
        <f>N31-H31</f>
        <v>15036</v>
      </c>
      <c r="P31" s="46">
        <f>ROUND(G31*O31,0)</f>
        <v>21222</v>
      </c>
      <c r="Q31" s="46">
        <f>ROUND(G31*N31,0)</f>
        <v>339023</v>
      </c>
    </row>
    <row r="32" spans="1:17" ht="30" hidden="1">
      <c r="A32" s="63"/>
      <c r="B32" s="94" t="str">
        <f>'Công trình'!C13</f>
        <v>AF.14112</v>
      </c>
      <c r="C32" s="100"/>
      <c r="D32" s="94" t="str">
        <f>'Công trình'!D13</f>
        <v>Bê tông móng, mố, trụ trên cạn SX bằng máy trộn, đổ bằng thủ công, bê tông M200, đá 1x2, PCB40</v>
      </c>
      <c r="E32" s="69"/>
      <c r="F32" s="13">
        <v>1</v>
      </c>
      <c r="G32" s="65">
        <f>'Hao phí vật tư'!M42</f>
        <v>0.5383</v>
      </c>
      <c r="H32" s="46"/>
      <c r="I32" s="90">
        <f>ROUND(G32*H31,2)</f>
        <v>121207.4</v>
      </c>
      <c r="J32" s="13" t="str">
        <f>'Công trình'!X13</f>
        <v>TH_2021_QD_366_XD</v>
      </c>
      <c r="K32" s="46"/>
      <c r="L32" s="90">
        <f>ROUND(G32*K31,2)</f>
        <v>121207.4</v>
      </c>
      <c r="M32" s="46"/>
      <c r="N32" s="46"/>
      <c r="O32" s="46"/>
      <c r="P32" s="90">
        <f>ROUND(G32*O31,2)</f>
        <v>8093.88</v>
      </c>
      <c r="Q32" s="90">
        <f>ROUND(G32*N31,2)</f>
        <v>129301.27</v>
      </c>
    </row>
    <row r="33" spans="1:17" ht="45" hidden="1">
      <c r="A33" s="63"/>
      <c r="B33" s="94" t="str">
        <f>'Công trình'!C19</f>
        <v>AF.12242</v>
      </c>
      <c r="C33" s="100"/>
      <c r="D33" s="94" t="str">
        <f>'Công trình'!D19</f>
        <v>Bê tông cột SX bằng máy trộn, đổ bằng thủ công, TD &gt;0,1m2, chiều cao ≤28m, M200, đá 1x2, PCB40</v>
      </c>
      <c r="E33" s="69"/>
      <c r="F33" s="13">
        <v>1</v>
      </c>
      <c r="G33" s="65">
        <f>'Hao phí vật tư'!M74</f>
        <v>0.624</v>
      </c>
      <c r="H33" s="46"/>
      <c r="I33" s="90">
        <f>ROUND(G33*H31,2)</f>
        <v>140504.21</v>
      </c>
      <c r="J33" s="13" t="str">
        <f>'Công trình'!X19</f>
        <v>TH_2021_QD_366_XD</v>
      </c>
      <c r="K33" s="46"/>
      <c r="L33" s="90">
        <f>ROUND(G33*K31,2)</f>
        <v>140504.21</v>
      </c>
      <c r="M33" s="46"/>
      <c r="N33" s="46"/>
      <c r="O33" s="46"/>
      <c r="P33" s="90">
        <f>ROUND(G33*O31,2)</f>
        <v>9382.46</v>
      </c>
      <c r="Q33" s="90">
        <f>ROUND(G33*N31,2)</f>
        <v>149886.67</v>
      </c>
    </row>
    <row r="34" spans="1:17" ht="30" hidden="1">
      <c r="A34" s="63"/>
      <c r="B34" s="94" t="str">
        <f>'Công trình'!C35</f>
        <v>AF.14132</v>
      </c>
      <c r="C34" s="100"/>
      <c r="D34" s="94" t="str">
        <f>'Công trình'!D35</f>
        <v>Bê tông móng, mố, trụ trên cạn SX bằng máy trộn, đổ bằng thủ công, bê tông M200, đá 2x4, PCB40</v>
      </c>
      <c r="E34" s="69"/>
      <c r="F34" s="13">
        <v>1</v>
      </c>
      <c r="G34" s="65">
        <f>'Hao phí vật tư'!M167</f>
        <v>0.2491</v>
      </c>
      <c r="H34" s="46"/>
      <c r="I34" s="90">
        <f>ROUND(G34*H31,2)</f>
        <v>56089.1</v>
      </c>
      <c r="J34" s="13" t="str">
        <f>'Công trình'!X35</f>
        <v>TH_2021_QD_366_XD</v>
      </c>
      <c r="K34" s="46"/>
      <c r="L34" s="90">
        <f>ROUND(G34*K31,2)</f>
        <v>56089.1</v>
      </c>
      <c r="M34" s="46"/>
      <c r="N34" s="46"/>
      <c r="O34" s="46"/>
      <c r="P34" s="90">
        <f>ROUND(G34*O31,2)</f>
        <v>3745.47</v>
      </c>
      <c r="Q34" s="90">
        <f>ROUND(G34*N31,2)</f>
        <v>59834.57</v>
      </c>
    </row>
    <row r="35" spans="1:17" ht="15">
      <c r="A35" s="63">
        <v>9</v>
      </c>
      <c r="B35" s="9" t="s">
        <v>76</v>
      </c>
      <c r="C35" s="100">
        <v>76</v>
      </c>
      <c r="D35" s="49" t="s">
        <v>72</v>
      </c>
      <c r="E35" s="69" t="s">
        <v>79</v>
      </c>
      <c r="F35" s="100"/>
      <c r="G35" s="19">
        <f>SUM(G36:G36)</f>
        <v>0.2182</v>
      </c>
      <c r="H35" s="46">
        <v>308342</v>
      </c>
      <c r="I35" s="46">
        <f>ROUND(G35*H35,0)</f>
        <v>67280</v>
      </c>
      <c r="J35" s="100">
        <v>1</v>
      </c>
      <c r="K35" s="46">
        <f>308342</f>
        <v>308342</v>
      </c>
      <c r="L35" s="46">
        <f>ROUND(G35*K35,0)</f>
        <v>67280</v>
      </c>
      <c r="M35" s="46">
        <v>17790</v>
      </c>
      <c r="N35" s="90">
        <f>K35+M35</f>
        <v>326132</v>
      </c>
      <c r="O35" s="46">
        <f>N35-H35</f>
        <v>17790</v>
      </c>
      <c r="P35" s="46">
        <f>ROUND(G35*O35,0)</f>
        <v>3882</v>
      </c>
      <c r="Q35" s="46">
        <f>ROUND(G35*N35,0)</f>
        <v>71162</v>
      </c>
    </row>
    <row r="36" spans="1:17" ht="30" hidden="1">
      <c r="A36" s="63"/>
      <c r="B36" s="94" t="str">
        <f>'Công trình'!C41</f>
        <v>BB.46032</v>
      </c>
      <c r="C36" s="100"/>
      <c r="D36" s="94" t="str">
        <f>'Công trình'!D41</f>
        <v>Lắp đặt ống nhựa HDPE đường kính 140mm, PN8 bằng phương pháp hàn gia nhiệt, chiều dày 6,7mm</v>
      </c>
      <c r="E36" s="69"/>
      <c r="F36" s="13">
        <v>1</v>
      </c>
      <c r="G36" s="65">
        <f>'Hao phí vật tư'!M194</f>
        <v>0.2182</v>
      </c>
      <c r="H36" s="46"/>
      <c r="I36" s="90">
        <f>ROUND(G36*H35,2)</f>
        <v>67280.22</v>
      </c>
      <c r="J36" s="13" t="str">
        <f>'Công trình'!X41</f>
        <v>TH_2021_QD_366_LD</v>
      </c>
      <c r="K36" s="46"/>
      <c r="L36" s="90">
        <f>ROUND(G36*K35,2)</f>
        <v>67280.22</v>
      </c>
      <c r="M36" s="46"/>
      <c r="N36" s="46"/>
      <c r="O36" s="46"/>
      <c r="P36" s="90">
        <f>ROUND(G36*O35,2)</f>
        <v>3881.78</v>
      </c>
      <c r="Q36" s="90">
        <f>ROUND(G36*N35,2)</f>
        <v>71162</v>
      </c>
    </row>
    <row r="37" spans="1:17" ht="15">
      <c r="A37" s="63">
        <v>10</v>
      </c>
      <c r="B37" s="9" t="s">
        <v>167</v>
      </c>
      <c r="C37" s="100">
        <v>72</v>
      </c>
      <c r="D37" s="49" t="s">
        <v>109</v>
      </c>
      <c r="E37" s="69" t="s">
        <v>79</v>
      </c>
      <c r="F37" s="100"/>
      <c r="G37" s="19">
        <f>SUM(G38:G39)</f>
        <v>0.7227</v>
      </c>
      <c r="H37" s="46">
        <v>66233</v>
      </c>
      <c r="I37" s="46">
        <f>ROUND(G37*H37,0)</f>
        <v>47867</v>
      </c>
      <c r="J37" s="100">
        <v>1</v>
      </c>
      <c r="K37" s="46">
        <f>66233</f>
        <v>66233</v>
      </c>
      <c r="L37" s="46">
        <f>ROUND(G37*K37,0)</f>
        <v>47867</v>
      </c>
      <c r="M37" s="46">
        <v>1696</v>
      </c>
      <c r="N37" s="90">
        <f>K37+M37</f>
        <v>67929</v>
      </c>
      <c r="O37" s="46">
        <f>N37-H37</f>
        <v>1696</v>
      </c>
      <c r="P37" s="46">
        <f>ROUND(G37*O37,0)</f>
        <v>1226</v>
      </c>
      <c r="Q37" s="46">
        <f>ROUND(G37*N37,0)</f>
        <v>49092</v>
      </c>
    </row>
    <row r="38" spans="1:17" ht="30" hidden="1">
      <c r="A38" s="63"/>
      <c r="B38" s="94" t="str">
        <f>'Công trình'!C25</f>
        <v>AI.11121</v>
      </c>
      <c r="C38" s="100"/>
      <c r="D38" s="94" t="str">
        <f>'Công trình'!D25</f>
        <v>Gia công vì kèo thép hình khẩu độ nhỏ, khẩu độ ≤9m</v>
      </c>
      <c r="E38" s="69"/>
      <c r="F38" s="13">
        <v>1</v>
      </c>
      <c r="G38" s="65">
        <f>'Hao phí vật tư'!M113</f>
        <v>0.6111</v>
      </c>
      <c r="H38" s="46"/>
      <c r="I38" s="90">
        <f>ROUND(G38*H37,2)</f>
        <v>40474.99</v>
      </c>
      <c r="J38" s="13" t="str">
        <f>'Công trình'!X25</f>
        <v>TH_2021_QD_366_XD</v>
      </c>
      <c r="K38" s="46"/>
      <c r="L38" s="90">
        <f>ROUND(G38*K37,2)</f>
        <v>40474.99</v>
      </c>
      <c r="M38" s="46"/>
      <c r="N38" s="46"/>
      <c r="O38" s="46"/>
      <c r="P38" s="90">
        <f>ROUND(G38*O37,2)</f>
        <v>1036.43</v>
      </c>
      <c r="Q38" s="90">
        <f>ROUND(G38*N37,2)</f>
        <v>41511.41</v>
      </c>
    </row>
    <row r="39" spans="1:17" ht="30" hidden="1">
      <c r="A39" s="63"/>
      <c r="B39" s="94" t="str">
        <f>'Công trình'!C27</f>
        <v>AI.61121</v>
      </c>
      <c r="C39" s="100"/>
      <c r="D39" s="94" t="str">
        <f>'Công trình'!D27</f>
        <v>Lắp vì kèo thép khẩu độ ≤18m</v>
      </c>
      <c r="E39" s="69"/>
      <c r="F39" s="13">
        <v>1</v>
      </c>
      <c r="G39" s="65">
        <f>'Hao phí vật tư'!M130</f>
        <v>0.1116</v>
      </c>
      <c r="H39" s="46"/>
      <c r="I39" s="90">
        <f>ROUND(G39*H37,2)</f>
        <v>7391.6</v>
      </c>
      <c r="J39" s="13" t="str">
        <f>'Công trình'!X27</f>
        <v>TH_2021_QD_366_XD</v>
      </c>
      <c r="K39" s="46"/>
      <c r="L39" s="90">
        <f>ROUND(G39*K37,2)</f>
        <v>7391.6</v>
      </c>
      <c r="M39" s="46"/>
      <c r="N39" s="46"/>
      <c r="O39" s="46"/>
      <c r="P39" s="90">
        <f>ROUND(G39*O37,2)</f>
        <v>189.27</v>
      </c>
      <c r="Q39" s="90">
        <f>ROUND(G39*N37,2)</f>
        <v>7580.88</v>
      </c>
    </row>
    <row r="40" spans="1:17" ht="30">
      <c r="A40" s="63">
        <v>11</v>
      </c>
      <c r="B40" s="9" t="s">
        <v>609</v>
      </c>
      <c r="C40" s="100">
        <v>69</v>
      </c>
      <c r="D40" s="49" t="s">
        <v>205</v>
      </c>
      <c r="E40" s="69" t="s">
        <v>79</v>
      </c>
      <c r="F40" s="100"/>
      <c r="G40" s="19">
        <f>SUM(G41:G41)</f>
        <v>0.0223</v>
      </c>
      <c r="H40" s="46">
        <v>852746</v>
      </c>
      <c r="I40" s="46">
        <f>ROUND(G40*H40,0)</f>
        <v>19016</v>
      </c>
      <c r="J40" s="100">
        <v>1</v>
      </c>
      <c r="K40" s="46">
        <f>852746</f>
        <v>852746</v>
      </c>
      <c r="L40" s="46">
        <f>ROUND(G40*K40,0)</f>
        <v>19016</v>
      </c>
      <c r="M40" s="46">
        <v>220785</v>
      </c>
      <c r="N40" s="90">
        <f>K40+M40</f>
        <v>1073531</v>
      </c>
      <c r="O40" s="46">
        <f>N40-H40</f>
        <v>220785</v>
      </c>
      <c r="P40" s="46">
        <f>ROUND(G40*O40,0)</f>
        <v>4924</v>
      </c>
      <c r="Q40" s="46">
        <f>ROUND(G40*N40,0)</f>
        <v>23940</v>
      </c>
    </row>
    <row r="41" spans="1:17" ht="30" hidden="1">
      <c r="A41" s="63"/>
      <c r="B41" s="94" t="str">
        <f>'Công trình'!C27</f>
        <v>AI.61121</v>
      </c>
      <c r="C41" s="100"/>
      <c r="D41" s="94" t="str">
        <f>'Công trình'!D27</f>
        <v>Lắp vì kèo thép khẩu độ ≤18m</v>
      </c>
      <c r="E41" s="69"/>
      <c r="F41" s="13">
        <v>1</v>
      </c>
      <c r="G41" s="65">
        <f>'Hao phí vật tư'!M128</f>
        <v>0.0223</v>
      </c>
      <c r="H41" s="46"/>
      <c r="I41" s="90">
        <f>ROUND(G41*H40,2)</f>
        <v>19016.24</v>
      </c>
      <c r="J41" s="13" t="str">
        <f>'Công trình'!X27</f>
        <v>TH_2021_QD_366_XD</v>
      </c>
      <c r="K41" s="46"/>
      <c r="L41" s="90">
        <f>ROUND(G41*K40,2)</f>
        <v>19016.24</v>
      </c>
      <c r="M41" s="46"/>
      <c r="N41" s="46"/>
      <c r="O41" s="46"/>
      <c r="P41" s="90">
        <f>ROUND(G41*O40,2)</f>
        <v>4923.51</v>
      </c>
      <c r="Q41" s="90">
        <f>ROUND(G41*N40,2)</f>
        <v>23939.74</v>
      </c>
    </row>
    <row r="42" spans="1:17" ht="15">
      <c r="A42" s="63">
        <v>12</v>
      </c>
      <c r="B42" s="9" t="s">
        <v>308</v>
      </c>
      <c r="C42" s="100">
        <v>68</v>
      </c>
      <c r="D42" s="49" t="s">
        <v>467</v>
      </c>
      <c r="E42" s="69" t="s">
        <v>79</v>
      </c>
      <c r="F42" s="100"/>
      <c r="G42" s="19">
        <f>SUM(G43:G47)</f>
        <v>1.2351999999999999</v>
      </c>
      <c r="H42" s="46">
        <v>268438</v>
      </c>
      <c r="I42" s="46">
        <f>ROUND(G42*H42,0)</f>
        <v>331575</v>
      </c>
      <c r="J42" s="100">
        <v>1</v>
      </c>
      <c r="K42" s="46">
        <f>268438</f>
        <v>268438</v>
      </c>
      <c r="L42" s="46">
        <f>ROUND(G42*K42,0)</f>
        <v>331575</v>
      </c>
      <c r="M42" s="46">
        <v>15790</v>
      </c>
      <c r="N42" s="90">
        <f>K42+M42</f>
        <v>284228</v>
      </c>
      <c r="O42" s="46">
        <f>N42-H42</f>
        <v>15790</v>
      </c>
      <c r="P42" s="46">
        <f>ROUND(G42*O42,0)</f>
        <v>19504</v>
      </c>
      <c r="Q42" s="46">
        <f>ROUND(G42*N42,0)</f>
        <v>351078</v>
      </c>
    </row>
    <row r="43" spans="1:17" ht="30" hidden="1">
      <c r="A43" s="63"/>
      <c r="B43" s="94" t="str">
        <f>'Công trình'!C9</f>
        <v>AF.11110</v>
      </c>
      <c r="C43" s="100"/>
      <c r="D43" s="94" t="str">
        <f>'Công trình'!D9</f>
        <v>Bê tông lót móng SX bằng máy trộn, đổ bằng thủ công, rộng ≤250cm, M100, đá 4x6, PCB30</v>
      </c>
      <c r="E43" s="69"/>
      <c r="F43" s="13">
        <v>1</v>
      </c>
      <c r="G43" s="65">
        <f>'Hao phí vật tư'!M19</f>
        <v>0.0559</v>
      </c>
      <c r="H43" s="46"/>
      <c r="I43" s="90">
        <f>ROUND(G43*H42,2)</f>
        <v>15005.68</v>
      </c>
      <c r="J43" s="13" t="str">
        <f>'Công trình'!X9</f>
        <v>TH_2021_QD_366_XD</v>
      </c>
      <c r="K43" s="46"/>
      <c r="L43" s="90">
        <f>ROUND(G43*K42,2)</f>
        <v>15005.68</v>
      </c>
      <c r="M43" s="46"/>
      <c r="N43" s="46"/>
      <c r="O43" s="46"/>
      <c r="P43" s="90">
        <f>ROUND(G43*O42,2)</f>
        <v>882.66</v>
      </c>
      <c r="Q43" s="90">
        <f>ROUND(G43*N42,2)</f>
        <v>15888.35</v>
      </c>
    </row>
    <row r="44" spans="1:17" ht="30" hidden="1">
      <c r="A44" s="63"/>
      <c r="B44" s="94" t="str">
        <f>'Công trình'!C13</f>
        <v>AF.14112</v>
      </c>
      <c r="C44" s="100"/>
      <c r="D44" s="94" t="str">
        <f>'Công trình'!D13</f>
        <v>Bê tông móng, mố, trụ trên cạn SX bằng máy trộn, đổ bằng thủ công, bê tông M200, đá 1x2, PCB40</v>
      </c>
      <c r="E44" s="69"/>
      <c r="F44" s="13">
        <v>1</v>
      </c>
      <c r="G44" s="65">
        <f>'Hao phí vật tư'!M41</f>
        <v>0.5746</v>
      </c>
      <c r="H44" s="46"/>
      <c r="I44" s="90">
        <f>ROUND(G44*H42,2)</f>
        <v>154244.47</v>
      </c>
      <c r="J44" s="13" t="str">
        <f>'Công trình'!X13</f>
        <v>TH_2021_QD_366_XD</v>
      </c>
      <c r="K44" s="46"/>
      <c r="L44" s="90">
        <f>ROUND(G44*K42,2)</f>
        <v>154244.47</v>
      </c>
      <c r="M44" s="46"/>
      <c r="N44" s="46"/>
      <c r="O44" s="46"/>
      <c r="P44" s="90">
        <f>ROUND(G44*O42,2)</f>
        <v>9072.93</v>
      </c>
      <c r="Q44" s="90">
        <f>ROUND(G44*N42,2)</f>
        <v>163317.41</v>
      </c>
    </row>
    <row r="45" spans="1:17" ht="45" hidden="1">
      <c r="A45" s="63"/>
      <c r="B45" s="94" t="str">
        <f>'Công trình'!C19</f>
        <v>AF.12242</v>
      </c>
      <c r="C45" s="100"/>
      <c r="D45" s="94" t="str">
        <f>'Công trình'!D19</f>
        <v>Bê tông cột SX bằng máy trộn, đổ bằng thủ công, TD &gt;0,1m2, chiều cao ≤28m, M200, đá 1x2, PCB40</v>
      </c>
      <c r="E45" s="69"/>
      <c r="F45" s="13">
        <v>1</v>
      </c>
      <c r="G45" s="65">
        <f>'Hao phí vật tư'!M75</f>
        <v>0.2964</v>
      </c>
      <c r="H45" s="46"/>
      <c r="I45" s="90">
        <f>ROUND(G45*H42,2)</f>
        <v>79565.02</v>
      </c>
      <c r="J45" s="13" t="str">
        <f>'Công trình'!X19</f>
        <v>TH_2021_QD_366_XD</v>
      </c>
      <c r="K45" s="46"/>
      <c r="L45" s="90">
        <f>ROUND(G45*K42,2)</f>
        <v>79565.02</v>
      </c>
      <c r="M45" s="46"/>
      <c r="N45" s="46"/>
      <c r="O45" s="46"/>
      <c r="P45" s="90">
        <f>ROUND(G45*O42,2)</f>
        <v>4680.16</v>
      </c>
      <c r="Q45" s="90">
        <f>ROUND(G45*N42,2)</f>
        <v>84245.18</v>
      </c>
    </row>
    <row r="46" spans="1:17" ht="30" hidden="1">
      <c r="A46" s="63"/>
      <c r="B46" s="94" t="str">
        <f>'Công trình'!C31</f>
        <v>AF.11110</v>
      </c>
      <c r="C46" s="100"/>
      <c r="D46" s="94" t="str">
        <f>'Công trình'!D31</f>
        <v>Bê tông lót móng SX bằng máy trộn, đổ bằng thủ công, rộng ≤250cm, M100, đá 4x6, PCB30</v>
      </c>
      <c r="E46" s="69"/>
      <c r="F46" s="13">
        <v>1</v>
      </c>
      <c r="G46" s="65">
        <f>'Hao phí vật tư'!M144</f>
        <v>0.0424</v>
      </c>
      <c r="H46" s="46"/>
      <c r="I46" s="90">
        <f>ROUND(G46*H42,2)</f>
        <v>11381.77</v>
      </c>
      <c r="J46" s="13" t="str">
        <f>'Công trình'!X31</f>
        <v>TH_2021_QD_366_XD</v>
      </c>
      <c r="K46" s="46"/>
      <c r="L46" s="90">
        <f>ROUND(G46*K42,2)</f>
        <v>11381.77</v>
      </c>
      <c r="M46" s="46"/>
      <c r="N46" s="46"/>
      <c r="O46" s="46"/>
      <c r="P46" s="90">
        <f>ROUND(G46*O42,2)</f>
        <v>669.5</v>
      </c>
      <c r="Q46" s="90">
        <f>ROUND(G46*N42,2)</f>
        <v>12051.27</v>
      </c>
    </row>
    <row r="47" spans="1:17" ht="30" hidden="1">
      <c r="A47" s="63"/>
      <c r="B47" s="94" t="str">
        <f>'Công trình'!C35</f>
        <v>AF.14132</v>
      </c>
      <c r="C47" s="100"/>
      <c r="D47" s="94" t="str">
        <f>'Công trình'!D35</f>
        <v>Bê tông móng, mố, trụ trên cạn SX bằng máy trộn, đổ bằng thủ công, bê tông M200, đá 2x4, PCB40</v>
      </c>
      <c r="E47" s="69"/>
      <c r="F47" s="13">
        <v>1</v>
      </c>
      <c r="G47" s="65">
        <f>'Hao phí vật tư'!M166</f>
        <v>0.2659</v>
      </c>
      <c r="H47" s="46"/>
      <c r="I47" s="90">
        <f>ROUND(G47*H42,2)</f>
        <v>71377.66</v>
      </c>
      <c r="J47" s="13" t="str">
        <f>'Công trình'!X35</f>
        <v>TH_2021_QD_366_XD</v>
      </c>
      <c r="K47" s="46"/>
      <c r="L47" s="90">
        <f>ROUND(G47*K42,2)</f>
        <v>71377.66</v>
      </c>
      <c r="M47" s="46"/>
      <c r="N47" s="46"/>
      <c r="O47" s="46"/>
      <c r="P47" s="90">
        <f>ROUND(G47*O42,2)</f>
        <v>4198.56</v>
      </c>
      <c r="Q47" s="90">
        <f>ROUND(G47*N42,2)</f>
        <v>75576.23</v>
      </c>
    </row>
    <row r="48" spans="1:17" ht="30">
      <c r="A48" s="63">
        <v>13</v>
      </c>
      <c r="B48" s="9" t="s">
        <v>135</v>
      </c>
      <c r="C48" s="100">
        <v>66</v>
      </c>
      <c r="D48" s="49" t="s">
        <v>327</v>
      </c>
      <c r="E48" s="69" t="s">
        <v>79</v>
      </c>
      <c r="F48" s="100"/>
      <c r="G48" s="19">
        <f>SUM(G49:G49)</f>
        <v>0.3432</v>
      </c>
      <c r="H48" s="46">
        <v>417196</v>
      </c>
      <c r="I48" s="46">
        <f>ROUND(G48*H48,0)</f>
        <v>143182</v>
      </c>
      <c r="J48" s="100">
        <v>1</v>
      </c>
      <c r="K48" s="46">
        <f>417196</f>
        <v>417196</v>
      </c>
      <c r="L48" s="46">
        <f>ROUND(G48*K48,0)</f>
        <v>143182</v>
      </c>
      <c r="M48" s="46">
        <v>19746</v>
      </c>
      <c r="N48" s="90">
        <f>K48+M48</f>
        <v>436942</v>
      </c>
      <c r="O48" s="46">
        <f>N48-H48</f>
        <v>19746</v>
      </c>
      <c r="P48" s="46">
        <f>ROUND(G48*O48,0)</f>
        <v>6777</v>
      </c>
      <c r="Q48" s="46">
        <f>ROUND(G48*N48,0)</f>
        <v>149958</v>
      </c>
    </row>
    <row r="49" spans="1:17" ht="45" hidden="1">
      <c r="A49" s="63"/>
      <c r="B49" s="94" t="str">
        <f>'Công trình'!C19</f>
        <v>AF.12242</v>
      </c>
      <c r="C49" s="100"/>
      <c r="D49" s="94" t="str">
        <f>'Công trình'!D19</f>
        <v>Bê tông cột SX bằng máy trộn, đổ bằng thủ công, TD &gt;0,1m2, chiều cao ≤28m, M200, đá 1x2, PCB40</v>
      </c>
      <c r="E49" s="69"/>
      <c r="F49" s="13">
        <v>1</v>
      </c>
      <c r="G49" s="65">
        <f>'Hao phí vật tư'!M73</f>
        <v>0.3432</v>
      </c>
      <c r="H49" s="46"/>
      <c r="I49" s="90">
        <f>ROUND(G49*H48,2)</f>
        <v>143181.67</v>
      </c>
      <c r="J49" s="13" t="str">
        <f>'Công trình'!X19</f>
        <v>TH_2021_QD_366_XD</v>
      </c>
      <c r="K49" s="46"/>
      <c r="L49" s="90">
        <f>ROUND(G49*K48,2)</f>
        <v>143181.67</v>
      </c>
      <c r="M49" s="46"/>
      <c r="N49" s="46"/>
      <c r="O49" s="46"/>
      <c r="P49" s="90">
        <f>ROUND(G49*O48,2)</f>
        <v>6776.83</v>
      </c>
      <c r="Q49" s="90">
        <f>ROUND(G49*N48,2)</f>
        <v>149958.49</v>
      </c>
    </row>
    <row r="50" spans="1:17" ht="15">
      <c r="A50" s="63">
        <v>14</v>
      </c>
      <c r="B50" s="9" t="s">
        <v>191</v>
      </c>
      <c r="C50" s="100">
        <v>67</v>
      </c>
      <c r="D50" s="49" t="s">
        <v>457</v>
      </c>
      <c r="E50" s="69" t="s">
        <v>79</v>
      </c>
      <c r="F50" s="100"/>
      <c r="G50" s="19">
        <f>SUM(G51:G52)</f>
        <v>0.0064</v>
      </c>
      <c r="H50" s="46">
        <v>738038</v>
      </c>
      <c r="I50" s="46">
        <f>ROUND(G50*H50,0)</f>
        <v>4723</v>
      </c>
      <c r="J50" s="100">
        <v>1</v>
      </c>
      <c r="K50" s="46">
        <f>738038</f>
        <v>738038</v>
      </c>
      <c r="L50" s="46">
        <f>ROUND(G50*K50,0)</f>
        <v>4723</v>
      </c>
      <c r="M50" s="46">
        <v>22572</v>
      </c>
      <c r="N50" s="90">
        <f>K50+M50</f>
        <v>760610</v>
      </c>
      <c r="O50" s="46">
        <f>N50-H50</f>
        <v>22572</v>
      </c>
      <c r="P50" s="46">
        <f>ROUND(G50*O50,0)</f>
        <v>144</v>
      </c>
      <c r="Q50" s="46">
        <f>ROUND(G50*N50,0)</f>
        <v>4868</v>
      </c>
    </row>
    <row r="51" spans="1:17" ht="30" hidden="1">
      <c r="A51" s="63"/>
      <c r="B51" s="94" t="str">
        <f>'Công trình'!C21</f>
        <v>AF.61412</v>
      </c>
      <c r="C51" s="100"/>
      <c r="D51" s="94" t="str">
        <f>'Công trình'!D21</f>
        <v>Lắp dựng cốt thép cột, trụ, ĐK ≤10mm, chiều cao ≤28m</v>
      </c>
      <c r="E51" s="69"/>
      <c r="F51" s="13">
        <v>1</v>
      </c>
      <c r="G51" s="65">
        <f>'Hao phí vật tư'!M85</f>
        <v>0.0014</v>
      </c>
      <c r="H51" s="46"/>
      <c r="I51" s="90">
        <f>ROUND(G51*H50,2)</f>
        <v>1033.25</v>
      </c>
      <c r="J51" s="13" t="str">
        <f>'Công trình'!X21</f>
        <v>TH_2021_QD_366_XD</v>
      </c>
      <c r="K51" s="46"/>
      <c r="L51" s="90">
        <f>ROUND(G51*K50,2)</f>
        <v>1033.25</v>
      </c>
      <c r="M51" s="46"/>
      <c r="N51" s="46"/>
      <c r="O51" s="46"/>
      <c r="P51" s="90">
        <f>ROUND(G51*O50,2)</f>
        <v>31.6</v>
      </c>
      <c r="Q51" s="90">
        <f>ROUND(G51*N50,2)</f>
        <v>1064.85</v>
      </c>
    </row>
    <row r="52" spans="1:17" ht="30" hidden="1">
      <c r="A52" s="63"/>
      <c r="B52" s="94" t="str">
        <f>'Công trình'!C23</f>
        <v>AF.61422</v>
      </c>
      <c r="C52" s="100"/>
      <c r="D52" s="94" t="str">
        <f>'Công trình'!D23</f>
        <v>Lắp dựng cốt thép cột, trụ, ĐK ≤18mm, chiều cao ≤28m</v>
      </c>
      <c r="E52" s="69"/>
      <c r="F52" s="13">
        <v>1</v>
      </c>
      <c r="G52" s="65">
        <f>'Hao phí vật tư'!M96</f>
        <v>0.005</v>
      </c>
      <c r="H52" s="46"/>
      <c r="I52" s="90">
        <f>ROUND(G52*H50,2)</f>
        <v>3690.19</v>
      </c>
      <c r="J52" s="13" t="str">
        <f>'Công trình'!X23</f>
        <v>TH_2021_QD_366_XD</v>
      </c>
      <c r="K52" s="46"/>
      <c r="L52" s="90">
        <f>ROUND(G52*K50,2)</f>
        <v>3690.19</v>
      </c>
      <c r="M52" s="46"/>
      <c r="N52" s="46"/>
      <c r="O52" s="46"/>
      <c r="P52" s="90">
        <f>ROUND(G52*O50,2)</f>
        <v>112.86</v>
      </c>
      <c r="Q52" s="90">
        <f>ROUND(G52*N50,2)</f>
        <v>3803.05</v>
      </c>
    </row>
    <row r="53" spans="1:17" ht="15">
      <c r="A53" s="63">
        <v>15</v>
      </c>
      <c r="B53" s="9" t="s">
        <v>173</v>
      </c>
      <c r="C53" s="100">
        <v>56</v>
      </c>
      <c r="D53" s="49" t="s">
        <v>43</v>
      </c>
      <c r="E53" s="64" t="s">
        <v>329</v>
      </c>
      <c r="F53" s="100"/>
      <c r="G53" s="19"/>
      <c r="H53" s="46"/>
      <c r="I53" s="46">
        <f>ROUND(SUM(I54:I59),0)</f>
        <v>21619</v>
      </c>
      <c r="J53" s="100">
        <v>1</v>
      </c>
      <c r="K53" s="46"/>
      <c r="L53" s="46">
        <f>ROUND(SUM(L54:L59),0)</f>
        <v>21619</v>
      </c>
      <c r="M53" s="46"/>
      <c r="N53" s="46">
        <f>K53+M53</f>
        <v>0</v>
      </c>
      <c r="O53" s="46"/>
      <c r="P53" s="46">
        <f>ROUND(SUM(P54:P59),0)</f>
        <v>901</v>
      </c>
      <c r="Q53" s="46">
        <f>ROUND(SUM(Q54:Q59),0)</f>
        <v>22520</v>
      </c>
    </row>
    <row r="54" spans="1:17" ht="30" hidden="1">
      <c r="A54" s="63"/>
      <c r="B54" s="94" t="str">
        <f>'Công trình'!C13</f>
        <v>AF.14112</v>
      </c>
      <c r="C54" s="100"/>
      <c r="D54" s="94" t="str">
        <f>'Công trình'!D13</f>
        <v>Bê tông móng, mố, trụ trên cạn SX bằng máy trộn, đổ bằng thủ công, bê tông M200, đá 1x2, PCB40</v>
      </c>
      <c r="E54" s="69"/>
      <c r="F54" s="13">
        <v>1</v>
      </c>
      <c r="G54" s="65">
        <f>'Hao phí vật tư'!I43</f>
        <v>1</v>
      </c>
      <c r="H54" s="46"/>
      <c r="I54" s="90">
        <f>ROUND((I13+I32+I44)*G54/100,2)</f>
        <v>6370.05</v>
      </c>
      <c r="J54" s="13" t="str">
        <f>'Công trình'!X13</f>
        <v>TH_2021_QD_366_XD</v>
      </c>
      <c r="K54" s="46"/>
      <c r="L54" s="90">
        <f>ROUND((L13+L32+L44)*G54/100,2)</f>
        <v>6370.05</v>
      </c>
      <c r="M54" s="46"/>
      <c r="N54" s="46"/>
      <c r="O54" s="46"/>
      <c r="P54" s="90">
        <f>ROUND((P13+P32+P44)*G54/100,2)</f>
        <v>171.67</v>
      </c>
      <c r="Q54" s="90">
        <f>ROUND((Q13+Q32+Q44)*G54/100,2)</f>
        <v>6541.72</v>
      </c>
    </row>
    <row r="55" spans="1:17" ht="30" hidden="1">
      <c r="A55" s="63"/>
      <c r="B55" s="94" t="str">
        <f>'Công trình'!C21</f>
        <v>AF.61412</v>
      </c>
      <c r="C55" s="100"/>
      <c r="D55" s="94" t="str">
        <f>'Công trình'!D21</f>
        <v>Lắp dựng cốt thép cột, trụ, ĐK ≤10mm, chiều cao ≤28m</v>
      </c>
      <c r="E55" s="69"/>
      <c r="F55" s="13">
        <v>1</v>
      </c>
      <c r="G55" s="65">
        <f>'Hao phí vật tư'!I86</f>
        <v>2</v>
      </c>
      <c r="H55" s="46"/>
      <c r="I55" s="90">
        <f>ROUND((I20+I24+I51)*G55/100,2)</f>
        <v>251.84</v>
      </c>
      <c r="J55" s="13" t="str">
        <f>'Công trình'!X21</f>
        <v>TH_2021_QD_366_XD</v>
      </c>
      <c r="K55" s="46"/>
      <c r="L55" s="90">
        <f>ROUND((L20+L24+L51)*G55/100,2)</f>
        <v>251.84</v>
      </c>
      <c r="M55" s="46"/>
      <c r="N55" s="46"/>
      <c r="O55" s="46"/>
      <c r="P55" s="90">
        <f>ROUND((P20+P24+P51)*G55/100,2)</f>
        <v>12.01</v>
      </c>
      <c r="Q55" s="90">
        <f>ROUND((Q20+Q24+Q51)*G55/100,2)</f>
        <v>263.85</v>
      </c>
    </row>
    <row r="56" spans="1:17" ht="30" hidden="1">
      <c r="A56" s="63"/>
      <c r="B56" s="94" t="str">
        <f>'Công trình'!C23</f>
        <v>AF.61422</v>
      </c>
      <c r="C56" s="100"/>
      <c r="D56" s="94" t="str">
        <f>'Công trình'!D23</f>
        <v>Lắp dựng cốt thép cột, trụ, ĐK ≤18mm, chiều cao ≤28m</v>
      </c>
      <c r="E56" s="69"/>
      <c r="F56" s="13">
        <v>1</v>
      </c>
      <c r="G56" s="65">
        <f>'Hao phí vật tư'!I99</f>
        <v>2</v>
      </c>
      <c r="H56" s="46"/>
      <c r="I56" s="90">
        <f>ROUND((I8+I21+I25+I52)*G56/100,2)</f>
        <v>4218.16</v>
      </c>
      <c r="J56" s="13" t="str">
        <f>'Công trình'!X23</f>
        <v>TH_2021_QD_366_XD</v>
      </c>
      <c r="K56" s="46"/>
      <c r="L56" s="90">
        <f>ROUND((L8+L21+L25+L52)*G56/100,2)</f>
        <v>4218.16</v>
      </c>
      <c r="M56" s="46"/>
      <c r="N56" s="46"/>
      <c r="O56" s="46"/>
      <c r="P56" s="90">
        <f>ROUND((P8+P21+P25+P52)*G56/100,2)</f>
        <v>287.93</v>
      </c>
      <c r="Q56" s="90">
        <f>ROUND((Q8+Q21+Q25+Q52)*G56/100,2)</f>
        <v>4506.09</v>
      </c>
    </row>
    <row r="57" spans="1:17" ht="30" hidden="1">
      <c r="A57" s="63"/>
      <c r="B57" s="94" t="str">
        <f>'Công trình'!C25</f>
        <v>AI.11121</v>
      </c>
      <c r="C57" s="100"/>
      <c r="D57" s="94" t="str">
        <f>'Công trình'!D25</f>
        <v>Gia công vì kèo thép hình khẩu độ nhỏ, khẩu độ ≤9m</v>
      </c>
      <c r="E57" s="69"/>
      <c r="F57" s="13">
        <v>1</v>
      </c>
      <c r="G57" s="65">
        <f>'Hao phí vật tư'!I114</f>
        <v>1</v>
      </c>
      <c r="H57" s="46"/>
      <c r="I57" s="90">
        <f>ROUND((I9+I16+I38)*G57/100,2)</f>
        <v>5461.99</v>
      </c>
      <c r="J57" s="13" t="str">
        <f>'Công trình'!X25</f>
        <v>TH_2021_QD_366_XD</v>
      </c>
      <c r="K57" s="46"/>
      <c r="L57" s="90">
        <f>ROUND((L9+L16+L38)*G57/100,2)</f>
        <v>5461.99</v>
      </c>
      <c r="M57" s="46"/>
      <c r="N57" s="46"/>
      <c r="O57" s="46"/>
      <c r="P57" s="90">
        <f>ROUND((P9+P16+P38)*G57/100,2)</f>
        <v>219.44</v>
      </c>
      <c r="Q57" s="90">
        <f>ROUND((Q9+Q16+Q38)*G57/100,2)</f>
        <v>5681.43</v>
      </c>
    </row>
    <row r="58" spans="1:17" ht="30" hidden="1">
      <c r="A58" s="63"/>
      <c r="B58" s="94" t="str">
        <f>'Công trình'!C27</f>
        <v>AI.61121</v>
      </c>
      <c r="C58" s="100"/>
      <c r="D58" s="94" t="str">
        <f>'Công trình'!D27</f>
        <v>Lắp vì kèo thép khẩu độ ≤18m</v>
      </c>
      <c r="E58" s="69"/>
      <c r="F58" s="13">
        <v>1</v>
      </c>
      <c r="G58" s="65">
        <f>'Hao phí vật tư'!I131</f>
        <v>1</v>
      </c>
      <c r="H58" s="46"/>
      <c r="I58" s="90">
        <f>ROUND((I10+I18+I39+I41)*G58/100,2)</f>
        <v>2369.13</v>
      </c>
      <c r="J58" s="13" t="str">
        <f>'Công trình'!X27</f>
        <v>TH_2021_QD_366_XD</v>
      </c>
      <c r="K58" s="46"/>
      <c r="L58" s="90">
        <f>ROUND((L10+L18+L39+L41)*G58/100,2)</f>
        <v>2369.13</v>
      </c>
      <c r="M58" s="46"/>
      <c r="N58" s="46"/>
      <c r="O58" s="46"/>
      <c r="P58" s="90">
        <f>ROUND((P10+P18+P39+P41)*G58/100,2)</f>
        <v>130.22</v>
      </c>
      <c r="Q58" s="90">
        <f>ROUND((Q10+Q18+Q39+Q41)*G58/100,2)</f>
        <v>2499.36</v>
      </c>
    </row>
    <row r="59" spans="1:17" ht="30" hidden="1">
      <c r="A59" s="127"/>
      <c r="B59" s="24" t="str">
        <f>'Công trình'!C35</f>
        <v>AF.14132</v>
      </c>
      <c r="C59" s="29"/>
      <c r="D59" s="24" t="str">
        <f>'Công trình'!D35</f>
        <v>Bê tông móng, mố, trụ trên cạn SX bằng máy trộn, đổ bằng thủ công, bê tông M200, đá 2x4, PCB40</v>
      </c>
      <c r="E59" s="134"/>
      <c r="F59" s="74">
        <v>1</v>
      </c>
      <c r="G59" s="126">
        <f>'Hao phí vật tư'!I168</f>
        <v>1</v>
      </c>
      <c r="H59" s="105"/>
      <c r="I59" s="22">
        <f>ROUND((I14+I34+I47)*G59/100,2)</f>
        <v>2948.28</v>
      </c>
      <c r="J59" s="74" t="str">
        <f>'Công trình'!X35</f>
        <v>TH_2021_QD_366_XD</v>
      </c>
      <c r="K59" s="105"/>
      <c r="L59" s="22">
        <f>ROUND((L14+L34+L47)*G59/100,2)</f>
        <v>2948.28</v>
      </c>
      <c r="M59" s="105"/>
      <c r="N59" s="105"/>
      <c r="O59" s="105"/>
      <c r="P59" s="22">
        <f>ROUND((P14+P34+P47)*G59/100,2)</f>
        <v>79.44</v>
      </c>
      <c r="Q59" s="22">
        <f>ROUND((Q14+Q34+Q47)*G59/100,2)</f>
        <v>3027.72</v>
      </c>
    </row>
    <row r="60" spans="1:17" ht="18" customHeight="1">
      <c r="A60" s="133"/>
      <c r="B60" s="112"/>
      <c r="C60" s="16"/>
      <c r="D60" s="112" t="s">
        <v>169</v>
      </c>
      <c r="E60" s="7"/>
      <c r="F60" s="16"/>
      <c r="G60" s="84"/>
      <c r="H60" s="109"/>
      <c r="I60" s="109">
        <f>ROUND(SUMIF(C6:C59,"&gt;0",I6:I59),0)</f>
        <v>2610792</v>
      </c>
      <c r="J60" s="16"/>
      <c r="K60" s="96"/>
      <c r="L60" s="109">
        <f>ROUND(SUMIF(C6:C59,"&gt;0",L6:L59),0)</f>
        <v>2610792</v>
      </c>
      <c r="M60" s="109"/>
      <c r="N60" s="109"/>
      <c r="O60" s="109"/>
      <c r="P60" s="109">
        <f>ROUND(SUMIF(C6:C59,"&gt;0",P6:P59),0)</f>
        <v>116202</v>
      </c>
      <c r="Q60" s="109">
        <f>ROUND(SUMIF(C6:C59,"&gt;0",Q6:Q59),0)</f>
        <v>2726990</v>
      </c>
    </row>
    <row r="61" spans="1:17" ht="16.5" customHeight="1">
      <c r="A61" s="128"/>
      <c r="B61" s="104"/>
      <c r="C61" s="25"/>
      <c r="D61" s="104"/>
      <c r="E61" s="128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</sheetData>
  <sheetProtection/>
  <mergeCells count="4">
    <mergeCell ref="A1:Q1"/>
    <mergeCell ref="A2:Q2"/>
    <mergeCell ref="A3:Q3"/>
    <mergeCell ref="O4:Q4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showZeros="0" zoomScalePageLayoutView="0" workbookViewId="0" topLeftCell="A1">
      <selection activeCell="A1" sqref="A1:E1"/>
    </sheetView>
  </sheetViews>
  <sheetFormatPr defaultColWidth="9.140625" defaultRowHeight="15"/>
  <cols>
    <col min="1" max="1" width="6.28125" style="130" customWidth="1"/>
    <col min="2" max="2" width="40.421875" style="130" customWidth="1"/>
    <col min="3" max="3" width="45.140625" style="130" customWidth="1"/>
    <col min="4" max="4" width="17.7109375" style="130" customWidth="1"/>
    <col min="5" max="5" width="11.421875" style="130" customWidth="1"/>
    <col min="6" max="16384" width="9.140625" style="130" customWidth="1"/>
  </cols>
  <sheetData>
    <row r="1" spans="1:5" ht="22.5" customHeight="1">
      <c r="A1" s="149" t="s">
        <v>587</v>
      </c>
      <c r="B1" s="149"/>
      <c r="C1" s="149"/>
      <c r="D1" s="149"/>
      <c r="E1" s="149"/>
    </row>
    <row r="2" spans="1:5" ht="19.5" customHeight="1">
      <c r="A2" s="150" t="str">
        <f>'Công trình'!A2</f>
        <v>Công trình: Sửa chữa nâng cấp mương suối Tú, bản Chại, xã Hiền Chung, huyện Quan Hóa, tỉnh Thanh Hóa</v>
      </c>
      <c r="B2" s="150"/>
      <c r="C2" s="150"/>
      <c r="D2" s="150"/>
      <c r="E2" s="150"/>
    </row>
    <row r="3" spans="1:5" ht="18" customHeight="1">
      <c r="A3" s="147" t="str">
        <f>'Công trình'!A3</f>
        <v>HẠNG MỤC: Hạng mục 1</v>
      </c>
      <c r="B3" s="147"/>
      <c r="C3" s="147"/>
      <c r="D3" s="147"/>
      <c r="E3" s="147"/>
    </row>
    <row r="4" spans="1:5" ht="18" customHeight="1">
      <c r="A4" s="128"/>
      <c r="B4" s="104"/>
      <c r="C4" s="152" t="s">
        <v>466</v>
      </c>
      <c r="D4" s="152"/>
      <c r="E4" s="152"/>
    </row>
    <row r="5" spans="1:5" ht="18.75" customHeight="1">
      <c r="A5" s="132" t="s">
        <v>576</v>
      </c>
      <c r="B5" s="5" t="s">
        <v>91</v>
      </c>
      <c r="C5" s="5" t="s">
        <v>376</v>
      </c>
      <c r="D5" s="82" t="s">
        <v>233</v>
      </c>
      <c r="E5" s="5" t="s">
        <v>412</v>
      </c>
    </row>
    <row r="6" spans="1:5" ht="15">
      <c r="A6" s="110" t="s">
        <v>350</v>
      </c>
      <c r="B6" s="91" t="s">
        <v>179</v>
      </c>
      <c r="C6" s="116"/>
      <c r="D6" s="88"/>
      <c r="E6" s="116"/>
    </row>
    <row r="7" spans="1:5" ht="15">
      <c r="A7" s="98">
        <v>1</v>
      </c>
      <c r="B7" s="75" t="s">
        <v>391</v>
      </c>
      <c r="C7" s="103" t="str">
        <f>"(VLG + CLVL)"</f>
        <v>(VLG + CLVL)</v>
      </c>
      <c r="D7" s="72">
        <f>ROUND((D8+D9),0)</f>
        <v>39545504</v>
      </c>
      <c r="E7" s="103" t="s">
        <v>119</v>
      </c>
    </row>
    <row r="8" spans="1:5" ht="15">
      <c r="A8" s="63"/>
      <c r="B8" s="49" t="s">
        <v>484</v>
      </c>
      <c r="C8" s="69" t="s">
        <v>264</v>
      </c>
      <c r="D8" s="46">
        <f>'Công trình'!Q64+'Công trình'!R64</f>
        <v>27981973</v>
      </c>
      <c r="E8" s="69" t="s">
        <v>322</v>
      </c>
    </row>
    <row r="9" spans="1:5" ht="15">
      <c r="A9" s="63"/>
      <c r="B9" s="49" t="s">
        <v>450</v>
      </c>
      <c r="C9" s="69" t="s">
        <v>475</v>
      </c>
      <c r="D9" s="46">
        <f>'Vật liệu'!AC100</f>
        <v>11563531</v>
      </c>
      <c r="E9" s="69" t="s">
        <v>309</v>
      </c>
    </row>
    <row r="10" spans="1:5" ht="15">
      <c r="A10" s="98">
        <v>2</v>
      </c>
      <c r="B10" s="75" t="s">
        <v>377</v>
      </c>
      <c r="C10" s="103" t="str">
        <f>"BNC"</f>
        <v>BNC</v>
      </c>
      <c r="D10" s="72">
        <f>ROUND(D13,0)</f>
        <v>18033098</v>
      </c>
      <c r="E10" s="103" t="s">
        <v>67</v>
      </c>
    </row>
    <row r="11" spans="1:5" ht="15">
      <c r="A11" s="63"/>
      <c r="B11" s="49" t="s">
        <v>312</v>
      </c>
      <c r="C11" s="69" t="s">
        <v>264</v>
      </c>
      <c r="D11" s="46">
        <f>'Công trình'!S64</f>
        <v>16856395</v>
      </c>
      <c r="E11" s="69" t="s">
        <v>11</v>
      </c>
    </row>
    <row r="12" spans="1:5" ht="15">
      <c r="A12" s="63"/>
      <c r="B12" s="49" t="s">
        <v>190</v>
      </c>
      <c r="C12" s="69" t="s">
        <v>138</v>
      </c>
      <c r="D12" s="46">
        <f>'Nhân công'!P31</f>
        <v>1176703</v>
      </c>
      <c r="E12" s="69" t="s">
        <v>251</v>
      </c>
    </row>
    <row r="13" spans="1:5" ht="15">
      <c r="A13" s="63"/>
      <c r="B13" s="49" t="s">
        <v>378</v>
      </c>
      <c r="C13" s="69" t="str">
        <f>"(NCG + CLNC) x 1"</f>
        <v>(NCG + CLNC) x 1</v>
      </c>
      <c r="D13" s="46">
        <f>ROUND((D11+D12)*'Hệ số'!C3,0)</f>
        <v>18033098</v>
      </c>
      <c r="E13" s="69" t="s">
        <v>201</v>
      </c>
    </row>
    <row r="14" spans="1:5" ht="15">
      <c r="A14" s="98">
        <v>3</v>
      </c>
      <c r="B14" s="75" t="s">
        <v>387</v>
      </c>
      <c r="C14" s="103" t="str">
        <f>"BM"</f>
        <v>BM</v>
      </c>
      <c r="D14" s="72">
        <f>ROUND(D17,0)</f>
        <v>2726880</v>
      </c>
      <c r="E14" s="103" t="s">
        <v>284</v>
      </c>
    </row>
    <row r="15" spans="1:5" ht="15">
      <c r="A15" s="63"/>
      <c r="B15" s="49" t="s">
        <v>373</v>
      </c>
      <c r="C15" s="69" t="s">
        <v>264</v>
      </c>
      <c r="D15" s="46">
        <f>'Công trình'!T64</f>
        <v>2610678</v>
      </c>
      <c r="E15" s="69" t="s">
        <v>604</v>
      </c>
    </row>
    <row r="16" spans="1:5" ht="30">
      <c r="A16" s="63"/>
      <c r="B16" s="49" t="s">
        <v>536</v>
      </c>
      <c r="C16" s="69" t="s">
        <v>126</v>
      </c>
      <c r="D16" s="46">
        <f>'Máy thi công'!P60</f>
        <v>116202</v>
      </c>
      <c r="E16" s="69" t="s">
        <v>307</v>
      </c>
    </row>
    <row r="17" spans="1:5" ht="15">
      <c r="A17" s="63"/>
      <c r="B17" s="49" t="s">
        <v>325</v>
      </c>
      <c r="C17" s="69" t="str">
        <f>"(MG + CLM) x 1"</f>
        <v>(MG + CLM) x 1</v>
      </c>
      <c r="D17" s="46">
        <f>ROUND((D15+D16)*'Hệ số'!C2,0)</f>
        <v>2726880</v>
      </c>
      <c r="E17" s="69" t="s">
        <v>269</v>
      </c>
    </row>
    <row r="18" spans="1:5" ht="15">
      <c r="A18" s="98"/>
      <c r="B18" s="75" t="s">
        <v>358</v>
      </c>
      <c r="C18" s="103" t="str">
        <f>"VL + NC + M"</f>
        <v>VL + NC + M</v>
      </c>
      <c r="D18" s="72">
        <f>ROUND(D7+D10+D14,0)</f>
        <v>60305482</v>
      </c>
      <c r="E18" s="103" t="s">
        <v>153</v>
      </c>
    </row>
    <row r="19" spans="1:5" ht="15">
      <c r="A19" s="63" t="s">
        <v>510</v>
      </c>
      <c r="B19" s="49" t="s">
        <v>375</v>
      </c>
      <c r="C19" s="69"/>
      <c r="D19" s="46"/>
      <c r="E19" s="69"/>
    </row>
    <row r="20" spans="1:5" ht="15">
      <c r="A20" s="63">
        <v>1</v>
      </c>
      <c r="B20" s="49" t="s">
        <v>535</v>
      </c>
      <c r="C20" s="69" t="str">
        <f>"T x 6,1%"</f>
        <v>T x 6,1%</v>
      </c>
      <c r="D20" s="46">
        <f>ROUND(D18*'Hệ số'!C4,0)</f>
        <v>3678634</v>
      </c>
      <c r="E20" s="69" t="s">
        <v>471</v>
      </c>
    </row>
    <row r="21" spans="1:5" ht="15">
      <c r="A21" s="63">
        <v>2</v>
      </c>
      <c r="B21" s="49" t="s">
        <v>509</v>
      </c>
      <c r="C21" s="69" t="str">
        <f>"T x 1,1%"</f>
        <v>T x 1,1%</v>
      </c>
      <c r="D21" s="46">
        <f>ROUND(D18*'Hệ số'!C6,0)</f>
        <v>663360</v>
      </c>
      <c r="E21" s="69" t="s">
        <v>360</v>
      </c>
    </row>
    <row r="22" spans="1:5" ht="30">
      <c r="A22" s="63">
        <v>3</v>
      </c>
      <c r="B22" s="49" t="s">
        <v>157</v>
      </c>
      <c r="C22" s="69" t="str">
        <f>"T x 2%"</f>
        <v>T x 2%</v>
      </c>
      <c r="D22" s="46">
        <f>ROUND(D18*'Hệ số'!C9,0)</f>
        <v>1206110</v>
      </c>
      <c r="E22" s="69" t="s">
        <v>543</v>
      </c>
    </row>
    <row r="23" spans="1:5" ht="15">
      <c r="A23" s="98"/>
      <c r="B23" s="75" t="s">
        <v>469</v>
      </c>
      <c r="C23" s="103" t="str">
        <f>"C + LT + TT"</f>
        <v>C + LT + TT</v>
      </c>
      <c r="D23" s="72">
        <f>D20+D21+D22</f>
        <v>5548104</v>
      </c>
      <c r="E23" s="103" t="s">
        <v>254</v>
      </c>
    </row>
    <row r="24" spans="1:5" ht="15">
      <c r="A24" s="63" t="s">
        <v>392</v>
      </c>
      <c r="B24" s="49" t="s">
        <v>23</v>
      </c>
      <c r="C24" s="69" t="str">
        <f>"(T + GT) x 5,5%"</f>
        <v>(T + GT) x 5,5%</v>
      </c>
      <c r="D24" s="46">
        <f>ROUND((D18+D23)*'Hệ số'!C8,0)</f>
        <v>3621947</v>
      </c>
      <c r="E24" s="69" t="s">
        <v>56</v>
      </c>
    </row>
    <row r="25" spans="1:5" ht="15">
      <c r="A25" s="98"/>
      <c r="B25" s="75" t="s">
        <v>289</v>
      </c>
      <c r="C25" s="103" t="str">
        <f>"T + GT + TL"</f>
        <v>T + GT + TL</v>
      </c>
      <c r="D25" s="72">
        <f>ROUND(D18+D23+D24,0)</f>
        <v>69475533</v>
      </c>
      <c r="E25" s="103" t="s">
        <v>408</v>
      </c>
    </row>
    <row r="26" spans="1:5" ht="15">
      <c r="A26" s="63" t="s">
        <v>270</v>
      </c>
      <c r="B26" s="49" t="s">
        <v>38</v>
      </c>
      <c r="C26" s="69" t="str">
        <f>"G x 10%"</f>
        <v>G x 10%</v>
      </c>
      <c r="D26" s="46">
        <f>ROUND(D25*'Hệ số'!C10,0)</f>
        <v>6947553</v>
      </c>
      <c r="E26" s="69" t="s">
        <v>220</v>
      </c>
    </row>
    <row r="27" spans="1:5" ht="15">
      <c r="A27" s="98"/>
      <c r="B27" s="75" t="s">
        <v>557</v>
      </c>
      <c r="C27" s="103" t="str">
        <f>"G + GTGT"</f>
        <v>G + GTGT</v>
      </c>
      <c r="D27" s="72">
        <f>ROUND(D25+D26,0)</f>
        <v>76423086</v>
      </c>
      <c r="E27" s="103" t="s">
        <v>374</v>
      </c>
    </row>
    <row r="28" spans="1:5" ht="15">
      <c r="A28" s="28"/>
      <c r="B28" s="34" t="s">
        <v>39</v>
      </c>
      <c r="C28" s="34" t="str">
        <f>"Gxd"</f>
        <v>Gxd</v>
      </c>
      <c r="D28" s="1">
        <f>ROUND(D27,0)</f>
        <v>76423086</v>
      </c>
      <c r="E28" s="34"/>
    </row>
    <row r="29" spans="1:5" ht="18" customHeight="1">
      <c r="A29" s="114"/>
      <c r="B29" s="21" t="s">
        <v>389</v>
      </c>
      <c r="C29" s="121" t="s">
        <v>429</v>
      </c>
      <c r="D29" s="122">
        <f>ROUND(D28,-3)</f>
        <v>76423000</v>
      </c>
      <c r="E29" s="121"/>
    </row>
    <row r="30" spans="1:5" ht="18.75" customHeight="1">
      <c r="A30" s="153" t="e">
        <f>TienBangChu(D29)</f>
        <v>#NAME?</v>
      </c>
      <c r="B30" s="153"/>
      <c r="C30" s="153"/>
      <c r="D30" s="153"/>
      <c r="E30" s="153"/>
    </row>
    <row r="31" spans="1:5" ht="18" customHeight="1">
      <c r="A31" s="128"/>
      <c r="B31" s="104"/>
      <c r="C31" s="154"/>
      <c r="D31" s="154"/>
      <c r="E31" s="154"/>
    </row>
    <row r="32" spans="1:5" ht="18" customHeight="1">
      <c r="A32" s="128"/>
      <c r="B32" s="128"/>
      <c r="C32" s="145"/>
      <c r="D32" s="145"/>
      <c r="E32" s="145"/>
    </row>
    <row r="33" spans="1:5" ht="17.25" customHeight="1">
      <c r="A33" s="128"/>
      <c r="B33" s="104"/>
      <c r="C33" s="128"/>
      <c r="D33" s="25"/>
      <c r="E33" s="128"/>
    </row>
    <row r="34" spans="1:5" ht="17.25" customHeight="1">
      <c r="A34" s="128"/>
      <c r="B34" s="104"/>
      <c r="C34" s="128"/>
      <c r="D34" s="25"/>
      <c r="E34" s="128"/>
    </row>
    <row r="35" spans="1:5" ht="17.25" customHeight="1">
      <c r="A35" s="128"/>
      <c r="B35" s="104"/>
      <c r="C35" s="128"/>
      <c r="D35" s="25"/>
      <c r="E35" s="128"/>
    </row>
    <row r="36" spans="1:5" ht="17.25" customHeight="1">
      <c r="A36" s="128"/>
      <c r="B36" s="104"/>
      <c r="C36" s="128"/>
      <c r="D36" s="25"/>
      <c r="E36" s="128"/>
    </row>
    <row r="37" spans="1:5" ht="18" customHeight="1">
      <c r="A37" s="128"/>
      <c r="B37" s="128"/>
      <c r="C37" s="145"/>
      <c r="D37" s="145"/>
      <c r="E37" s="145"/>
    </row>
    <row r="38" spans="1:5" ht="18" customHeight="1">
      <c r="A38" s="128"/>
      <c r="B38" s="128"/>
      <c r="C38" s="145"/>
      <c r="D38" s="145"/>
      <c r="E38" s="145"/>
    </row>
    <row r="39" spans="1:5" ht="18" customHeight="1">
      <c r="A39" s="128"/>
      <c r="B39" s="104"/>
      <c r="C39" s="145"/>
      <c r="D39" s="145"/>
      <c r="E39" s="145"/>
    </row>
    <row r="40" spans="1:5" ht="17.25" customHeight="1">
      <c r="A40" s="128"/>
      <c r="B40" s="104"/>
      <c r="C40" s="128"/>
      <c r="D40" s="25"/>
      <c r="E40" s="128"/>
    </row>
  </sheetData>
  <sheetProtection/>
  <mergeCells count="10">
    <mergeCell ref="C32:E32"/>
    <mergeCell ref="C37:E37"/>
    <mergeCell ref="C38:E38"/>
    <mergeCell ref="C39:E39"/>
    <mergeCell ref="A1:E1"/>
    <mergeCell ref="A2:E2"/>
    <mergeCell ref="A3:E3"/>
    <mergeCell ref="C4:E4"/>
    <mergeCell ref="A30:E30"/>
    <mergeCell ref="C31:E31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83"/>
  <sheetViews>
    <sheetView showZeros="0" tabSelected="1" zoomScale="85" zoomScaleNormal="85" zoomScalePageLayoutView="0" workbookViewId="0" topLeftCell="A1">
      <selection activeCell="M39" sqref="M39"/>
    </sheetView>
  </sheetViews>
  <sheetFormatPr defaultColWidth="9.140625" defaultRowHeight="15"/>
  <cols>
    <col min="1" max="1" width="6.28125" style="130" customWidth="1"/>
    <col min="2" max="2" width="40.00390625" style="130" customWidth="1"/>
    <col min="3" max="3" width="12.57421875" style="130" hidden="1" customWidth="1"/>
    <col min="4" max="4" width="14.00390625" style="130" hidden="1" customWidth="1"/>
    <col min="5" max="5" width="8.421875" style="130" bestFit="1" customWidth="1"/>
    <col min="6" max="6" width="5.8515625" style="130" hidden="1" customWidth="1"/>
    <col min="7" max="7" width="23.00390625" style="130" customWidth="1"/>
    <col min="8" max="8" width="15.421875" style="130" customWidth="1"/>
    <col min="9" max="9" width="13.8515625" style="130" bestFit="1" customWidth="1"/>
    <col min="10" max="10" width="15.00390625" style="130" bestFit="1" customWidth="1"/>
    <col min="11" max="11" width="8.8515625" style="130" customWidth="1"/>
    <col min="12" max="16384" width="9.140625" style="130" customWidth="1"/>
  </cols>
  <sheetData>
    <row r="1" spans="1:11" ht="22.5" customHeight="1">
      <c r="A1" s="140" t="s">
        <v>593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hidden="1">
      <c r="A2" s="142" t="s">
        <v>563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 customHeight="1" hidden="1">
      <c r="A3" s="128"/>
      <c r="B3" s="104"/>
      <c r="C3" s="128"/>
      <c r="D3" s="128"/>
      <c r="E3" s="25"/>
      <c r="F3" s="25"/>
      <c r="G3" s="128"/>
      <c r="H3" s="152"/>
      <c r="I3" s="152"/>
      <c r="J3" s="152"/>
      <c r="K3" s="152"/>
    </row>
    <row r="4" spans="1:11" ht="19.5" customHeight="1">
      <c r="A4" s="155" t="str">
        <f>'Công trình'!A2</f>
        <v>Công trình: Sửa chữa nâng cấp mương suối Tú, bản Chại, xã Hiền Chung, huyện Quan Hóa, tỉnh Thanh Hóa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.75" customHeight="1" hidden="1">
      <c r="A5" s="128"/>
      <c r="B5" s="48" t="s">
        <v>544</v>
      </c>
      <c r="C5" s="121"/>
      <c r="D5" s="121"/>
      <c r="E5" s="156" t="s">
        <v>608</v>
      </c>
      <c r="F5" s="156"/>
      <c r="G5" s="156"/>
      <c r="H5" s="25"/>
      <c r="I5" s="25"/>
      <c r="J5" s="25"/>
      <c r="K5" s="128"/>
    </row>
    <row r="6" spans="1:11" ht="18" customHeight="1" hidden="1">
      <c r="A6" s="128"/>
      <c r="B6" s="59" t="s">
        <v>242</v>
      </c>
      <c r="C6" s="3"/>
      <c r="D6" s="3"/>
      <c r="E6" s="157" t="s">
        <v>366</v>
      </c>
      <c r="F6" s="157"/>
      <c r="G6" s="157"/>
      <c r="H6" s="25"/>
      <c r="I6" s="25"/>
      <c r="J6" s="25"/>
      <c r="K6" s="128"/>
    </row>
    <row r="7" spans="1:11" ht="18" customHeight="1" hidden="1">
      <c r="A7" s="128"/>
      <c r="B7" s="59" t="s">
        <v>365</v>
      </c>
      <c r="C7" s="3"/>
      <c r="D7" s="3"/>
      <c r="E7" s="157" t="s">
        <v>420</v>
      </c>
      <c r="F7" s="157"/>
      <c r="G7" s="157"/>
      <c r="H7" s="25"/>
      <c r="I7" s="25"/>
      <c r="J7" s="25"/>
      <c r="K7" s="128"/>
    </row>
    <row r="8" spans="1:11" ht="18" customHeight="1" hidden="1">
      <c r="A8" s="128"/>
      <c r="B8" s="59" t="s">
        <v>105</v>
      </c>
      <c r="C8" s="3"/>
      <c r="D8" s="3"/>
      <c r="E8" s="157" t="s">
        <v>66</v>
      </c>
      <c r="F8" s="157"/>
      <c r="G8" s="157"/>
      <c r="H8" s="25"/>
      <c r="I8" s="25"/>
      <c r="J8" s="25"/>
      <c r="K8" s="128"/>
    </row>
    <row r="9" spans="1:11" ht="22.5" customHeight="1">
      <c r="A9" s="158" t="s">
        <v>616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ht="18" customHeight="1">
      <c r="A10" s="128"/>
      <c r="B10" s="104"/>
      <c r="C10" s="128"/>
      <c r="D10" s="128"/>
      <c r="E10" s="25"/>
      <c r="F10" s="25"/>
      <c r="G10" s="128"/>
      <c r="H10" s="25"/>
      <c r="I10" s="25"/>
      <c r="J10" s="152" t="s">
        <v>466</v>
      </c>
      <c r="K10" s="152"/>
    </row>
    <row r="11" spans="1:11" ht="31.5" customHeight="1">
      <c r="A11" s="132" t="s">
        <v>576</v>
      </c>
      <c r="B11" s="5" t="s">
        <v>91</v>
      </c>
      <c r="C11" s="5" t="s">
        <v>575</v>
      </c>
      <c r="D11" s="5" t="s">
        <v>8</v>
      </c>
      <c r="E11" s="131" t="s">
        <v>396</v>
      </c>
      <c r="F11" s="5" t="s">
        <v>434</v>
      </c>
      <c r="G11" s="5" t="s">
        <v>376</v>
      </c>
      <c r="H11" s="82" t="s">
        <v>117</v>
      </c>
      <c r="I11" s="82" t="s">
        <v>435</v>
      </c>
      <c r="J11" s="82" t="s">
        <v>280</v>
      </c>
      <c r="K11" s="5" t="s">
        <v>412</v>
      </c>
    </row>
    <row r="12" spans="1:11" ht="42.75" hidden="1">
      <c r="A12" s="11" t="s">
        <v>121</v>
      </c>
      <c r="B12" s="119" t="s">
        <v>390</v>
      </c>
      <c r="C12" s="18"/>
      <c r="D12" s="18"/>
      <c r="E12" s="32"/>
      <c r="F12" s="43"/>
      <c r="G12" s="18" t="str">
        <f>"0 x (CPGiaiPhongMatBangTruocThue)"</f>
        <v>0 x (CPGiaiPhongMatBangTruocThue)</v>
      </c>
      <c r="H12" s="117">
        <f>0*(0)</f>
        <v>0</v>
      </c>
      <c r="I12" s="117">
        <f>0*(ROUND(H12*'Hệ số'!C10,0))</f>
        <v>0</v>
      </c>
      <c r="J12" s="117">
        <f>0*(ROUND(H12+I12,0))</f>
        <v>0</v>
      </c>
      <c r="K12" s="18" t="s">
        <v>143</v>
      </c>
    </row>
    <row r="13" spans="1:11" ht="15">
      <c r="A13" s="98" t="s">
        <v>350</v>
      </c>
      <c r="B13" s="75" t="s">
        <v>403</v>
      </c>
      <c r="C13" s="103"/>
      <c r="D13" s="103"/>
      <c r="E13" s="113"/>
      <c r="F13" s="125"/>
      <c r="G13" s="103" t="s">
        <v>429</v>
      </c>
      <c r="H13" s="72">
        <f>H14</f>
        <v>69475533</v>
      </c>
      <c r="I13" s="72">
        <f>I14</f>
        <v>6947553</v>
      </c>
      <c r="J13" s="72">
        <f>ROUND(J14,-3)</f>
        <v>76423000</v>
      </c>
      <c r="K13" s="103" t="s">
        <v>374</v>
      </c>
    </row>
    <row r="14" spans="1:11" ht="15">
      <c r="A14" s="63"/>
      <c r="B14" s="49" t="s">
        <v>302</v>
      </c>
      <c r="C14" s="69" t="s">
        <v>518</v>
      </c>
      <c r="D14" s="69" t="s">
        <v>518</v>
      </c>
      <c r="E14" s="85"/>
      <c r="F14" s="100"/>
      <c r="G14" s="69" t="s">
        <v>429</v>
      </c>
      <c r="H14" s="46">
        <f>SUM(H15:H15)</f>
        <v>69475533</v>
      </c>
      <c r="I14" s="46">
        <f>SUM(I15:I15)</f>
        <v>6947553</v>
      </c>
      <c r="J14" s="46">
        <f>ROUND(H14+I14,0)</f>
        <v>76423086</v>
      </c>
      <c r="K14" s="69"/>
    </row>
    <row r="15" spans="1:11" ht="30" hidden="1">
      <c r="A15" s="63" t="s">
        <v>406</v>
      </c>
      <c r="B15" s="49" t="s">
        <v>359</v>
      </c>
      <c r="C15" s="69"/>
      <c r="D15" s="69"/>
      <c r="E15" s="85"/>
      <c r="F15" s="100">
        <v>1</v>
      </c>
      <c r="G15" s="69" t="s">
        <v>47</v>
      </c>
      <c r="H15" s="46">
        <f>'TH dự toán hạng mục'!D25*F15</f>
        <v>69475533</v>
      </c>
      <c r="I15" s="46">
        <f>ROUND(H15*10%,0)</f>
        <v>6947553</v>
      </c>
      <c r="J15" s="46">
        <f>ROUND(H15+I15,0)</f>
        <v>76423086</v>
      </c>
      <c r="K15" s="69"/>
    </row>
    <row r="16" spans="1:11" ht="28.5" hidden="1">
      <c r="A16" s="98" t="s">
        <v>96</v>
      </c>
      <c r="B16" s="75" t="s">
        <v>51</v>
      </c>
      <c r="C16" s="103"/>
      <c r="D16" s="103"/>
      <c r="E16" s="113"/>
      <c r="F16" s="125"/>
      <c r="G16" s="103" t="s">
        <v>83</v>
      </c>
      <c r="H16" s="72"/>
      <c r="I16" s="72"/>
      <c r="J16" s="72">
        <f>0*(ROUND(H16+I16,0))</f>
        <v>0</v>
      </c>
      <c r="K16" s="103" t="s">
        <v>336</v>
      </c>
    </row>
    <row r="17" spans="1:11" ht="28.5">
      <c r="A17" s="98" t="s">
        <v>510</v>
      </c>
      <c r="B17" s="75" t="s">
        <v>213</v>
      </c>
      <c r="C17" s="103" t="s">
        <v>583</v>
      </c>
      <c r="D17" s="103" t="s">
        <v>547</v>
      </c>
      <c r="E17" s="78">
        <v>0.03263</v>
      </c>
      <c r="F17" s="125"/>
      <c r="G17" s="103" t="s">
        <v>356</v>
      </c>
      <c r="H17" s="72">
        <f>ROUND((H13+H16)*E17,0)</f>
        <v>2266987</v>
      </c>
      <c r="I17" s="72"/>
      <c r="J17" s="72">
        <f>ROUND(H17+I17,-3)</f>
        <v>2267000</v>
      </c>
      <c r="K17" s="103" t="s">
        <v>114</v>
      </c>
    </row>
    <row r="18" spans="1:11" ht="15">
      <c r="A18" s="98" t="s">
        <v>392</v>
      </c>
      <c r="B18" s="75" t="s">
        <v>151</v>
      </c>
      <c r="C18" s="103"/>
      <c r="D18" s="103"/>
      <c r="E18" s="113"/>
      <c r="F18" s="125"/>
      <c r="G18" s="103" t="s">
        <v>429</v>
      </c>
      <c r="H18" s="72">
        <f>SUM(H19:H49)</f>
        <v>9799798</v>
      </c>
      <c r="I18" s="72">
        <f>SUM(I19:I49)</f>
        <v>979980</v>
      </c>
      <c r="J18" s="72">
        <f>ROUND(SUM(J19:J49),-3)</f>
        <v>10780000</v>
      </c>
      <c r="K18" s="103" t="s">
        <v>581</v>
      </c>
    </row>
    <row r="19" spans="1:11" ht="15" hidden="1">
      <c r="A19" s="63" t="s">
        <v>525</v>
      </c>
      <c r="B19" s="49" t="s">
        <v>407</v>
      </c>
      <c r="C19" s="69" t="s">
        <v>473</v>
      </c>
      <c r="D19" s="69" t="s">
        <v>473</v>
      </c>
      <c r="E19" s="85"/>
      <c r="F19" s="100"/>
      <c r="G19" s="69" t="s">
        <v>429</v>
      </c>
      <c r="H19" s="46">
        <f>0*(0)</f>
        <v>0</v>
      </c>
      <c r="I19" s="46">
        <f>0*(ROUND(H19*'Hệ số'!C10,0))</f>
        <v>0</v>
      </c>
      <c r="J19" s="46">
        <f>0*(ROUND(H19+I19,0))</f>
        <v>0</v>
      </c>
      <c r="K19" s="69"/>
    </row>
    <row r="20" spans="1:11" ht="15">
      <c r="A20" s="63">
        <v>1</v>
      </c>
      <c r="B20" s="49" t="s">
        <v>497</v>
      </c>
      <c r="C20" s="69" t="s">
        <v>400</v>
      </c>
      <c r="D20" s="69" t="s">
        <v>400</v>
      </c>
      <c r="E20" s="85"/>
      <c r="F20" s="100"/>
      <c r="G20" s="69" t="s">
        <v>429</v>
      </c>
      <c r="H20" s="46">
        <v>3000000</v>
      </c>
      <c r="I20" s="46">
        <f>ROUND(H20*'Hệ số'!C10,0)</f>
        <v>300000</v>
      </c>
      <c r="J20" s="46">
        <f>ROUND(H20+I20,0)</f>
        <v>3300000</v>
      </c>
      <c r="K20" s="69"/>
    </row>
    <row r="21" spans="1:11" ht="15" hidden="1">
      <c r="A21" s="63" t="s">
        <v>515</v>
      </c>
      <c r="B21" s="49" t="s">
        <v>348</v>
      </c>
      <c r="C21" s="69" t="s">
        <v>15</v>
      </c>
      <c r="D21" s="69" t="s">
        <v>15</v>
      </c>
      <c r="E21" s="87">
        <v>0.03</v>
      </c>
      <c r="F21" s="100"/>
      <c r="G21" s="69" t="s">
        <v>48</v>
      </c>
      <c r="H21" s="46">
        <f>0*(ROUND((H19+H20)*E21,0))</f>
        <v>0</v>
      </c>
      <c r="I21" s="46">
        <f>0*(ROUND(H21*'Hệ số'!C10,0))</f>
        <v>0</v>
      </c>
      <c r="J21" s="46">
        <f>0*(ROUND(H21+I21,0))</f>
        <v>0</v>
      </c>
      <c r="K21" s="69"/>
    </row>
    <row r="22" spans="1:11" ht="30" hidden="1">
      <c r="A22" s="63" t="s">
        <v>503</v>
      </c>
      <c r="B22" s="49" t="s">
        <v>340</v>
      </c>
      <c r="C22" s="69" t="s">
        <v>58</v>
      </c>
      <c r="D22" s="69" t="s">
        <v>158</v>
      </c>
      <c r="E22" s="50">
        <v>0.00566</v>
      </c>
      <c r="F22" s="100"/>
      <c r="G22" s="69" t="s">
        <v>246</v>
      </c>
      <c r="H22" s="46">
        <f>0*(ROUND((H13+H16)*E22,0))</f>
        <v>0</v>
      </c>
      <c r="I22" s="46">
        <f>0*(ROUND(H22*'Hệ số'!C10,0))</f>
        <v>0</v>
      </c>
      <c r="J22" s="46">
        <f>0*(ROUND(H22+I22,0))</f>
        <v>0</v>
      </c>
      <c r="K22" s="69"/>
    </row>
    <row r="23" spans="1:11" ht="30" hidden="1">
      <c r="A23" s="63" t="s">
        <v>462</v>
      </c>
      <c r="B23" s="49" t="s">
        <v>504</v>
      </c>
      <c r="C23" s="69" t="s">
        <v>71</v>
      </c>
      <c r="D23" s="69" t="s">
        <v>349</v>
      </c>
      <c r="E23" s="50">
        <v>0.00943</v>
      </c>
      <c r="F23" s="100"/>
      <c r="G23" s="69" t="s">
        <v>246</v>
      </c>
      <c r="H23" s="46">
        <f>0*(ROUND((H13+H16)*E23,0))</f>
        <v>0</v>
      </c>
      <c r="I23" s="46">
        <f>0*(ROUND(H23*'Hệ số'!C10,0))</f>
        <v>0</v>
      </c>
      <c r="J23" s="46">
        <f>0*(ROUND(H23+I23,0))</f>
        <v>0</v>
      </c>
      <c r="K23" s="69"/>
    </row>
    <row r="24" spans="1:11" ht="30">
      <c r="A24" s="63">
        <v>2</v>
      </c>
      <c r="B24" s="49" t="s">
        <v>292</v>
      </c>
      <c r="C24" s="69" t="s">
        <v>37</v>
      </c>
      <c r="D24" s="69" t="s">
        <v>271</v>
      </c>
      <c r="E24" s="83">
        <v>0.062</v>
      </c>
      <c r="F24" s="100"/>
      <c r="G24" s="69" t="s">
        <v>356</v>
      </c>
      <c r="H24" s="46">
        <f>MAX(ROUND((H13+H16)*E24,0),IF(E24&gt;0,5000000,0))</f>
        <v>5000000</v>
      </c>
      <c r="I24" s="46">
        <f>ROUND(H24*'Hệ số'!C10,0)</f>
        <v>500000</v>
      </c>
      <c r="J24" s="46">
        <f>ROUND(H24+I24,0)</f>
        <v>5500000</v>
      </c>
      <c r="K24" s="69"/>
    </row>
    <row r="25" spans="1:11" ht="30" hidden="1">
      <c r="A25" s="63" t="s">
        <v>443</v>
      </c>
      <c r="B25" s="49" t="s">
        <v>355</v>
      </c>
      <c r="C25" s="69" t="s">
        <v>198</v>
      </c>
      <c r="D25" s="69" t="s">
        <v>532</v>
      </c>
      <c r="E25" s="50">
        <v>0.00064</v>
      </c>
      <c r="F25" s="100"/>
      <c r="G25" s="69" t="s">
        <v>356</v>
      </c>
      <c r="H25" s="46">
        <f>0*(ROUND((H13+H16)*E25,0))</f>
        <v>0</v>
      </c>
      <c r="I25" s="46">
        <f>0*(ROUND(H25*'Hệ số'!C10,0))</f>
        <v>0</v>
      </c>
      <c r="J25" s="46">
        <f aca="true" t="shared" si="0" ref="J25:J38">0*(ROUND(H25+I25,0))</f>
        <v>0</v>
      </c>
      <c r="K25" s="69"/>
    </row>
    <row r="26" spans="1:11" ht="30" hidden="1">
      <c r="A26" s="63" t="s">
        <v>433</v>
      </c>
      <c r="B26" s="49" t="s">
        <v>266</v>
      </c>
      <c r="C26" s="69" t="s">
        <v>474</v>
      </c>
      <c r="D26" s="69" t="s">
        <v>144</v>
      </c>
      <c r="E26" s="50">
        <v>0.00182</v>
      </c>
      <c r="F26" s="100"/>
      <c r="G26" s="69" t="s">
        <v>356</v>
      </c>
      <c r="H26" s="46">
        <f>0*(ROUND((H13+H16)*E26,0))</f>
        <v>0</v>
      </c>
      <c r="I26" s="46">
        <f>0*(ROUND(H26*'Hệ số'!C10,0))</f>
        <v>0</v>
      </c>
      <c r="J26" s="46">
        <f t="shared" si="0"/>
        <v>0</v>
      </c>
      <c r="K26" s="69"/>
    </row>
    <row r="27" spans="1:11" ht="30" hidden="1">
      <c r="A27" s="63" t="s">
        <v>401</v>
      </c>
      <c r="B27" s="49" t="s">
        <v>590</v>
      </c>
      <c r="C27" s="69"/>
      <c r="D27" s="69"/>
      <c r="E27" s="85">
        <f>E33+E34</f>
        <v>0.00372</v>
      </c>
      <c r="F27" s="100">
        <v>1.2</v>
      </c>
      <c r="G27" s="69" t="s">
        <v>356</v>
      </c>
      <c r="H27" s="46">
        <f>0*(ROUND(H13*E27*F27,0))</f>
        <v>0</v>
      </c>
      <c r="I27" s="46">
        <f>0*(ROUND(H27*'Hệ số'!C10,0))</f>
        <v>0</v>
      </c>
      <c r="J27" s="46">
        <f t="shared" si="0"/>
        <v>0</v>
      </c>
      <c r="K27" s="69"/>
    </row>
    <row r="28" spans="1:11" ht="30" hidden="1">
      <c r="A28" s="63" t="s">
        <v>245</v>
      </c>
      <c r="B28" s="49" t="s">
        <v>101</v>
      </c>
      <c r="C28" s="69"/>
      <c r="D28" s="69"/>
      <c r="E28" s="87">
        <v>0.15</v>
      </c>
      <c r="F28" s="100"/>
      <c r="G28" s="69" t="s">
        <v>356</v>
      </c>
      <c r="H28" s="46">
        <f>0*(ROUND((H13+H16)*E26*E28,0))</f>
        <v>0</v>
      </c>
      <c r="I28" s="46">
        <f>0*(ROUND(H28*'Hệ số'!C10,0))</f>
        <v>0</v>
      </c>
      <c r="J28" s="46">
        <f t="shared" si="0"/>
        <v>0</v>
      </c>
      <c r="K28" s="69"/>
    </row>
    <row r="29" spans="1:11" ht="30" hidden="1">
      <c r="A29" s="63" t="s">
        <v>231</v>
      </c>
      <c r="B29" s="49" t="s">
        <v>436</v>
      </c>
      <c r="C29" s="69"/>
      <c r="D29" s="69"/>
      <c r="E29" s="87">
        <v>0.15</v>
      </c>
      <c r="F29" s="100"/>
      <c r="G29" s="69" t="s">
        <v>356</v>
      </c>
      <c r="H29" s="46">
        <f>0*(ROUND(H13*E27*F27*E29,0))</f>
        <v>0</v>
      </c>
      <c r="I29" s="46">
        <f>0*(ROUND(H29*'Hệ số'!C10,0))</f>
        <v>0</v>
      </c>
      <c r="J29" s="46">
        <f t="shared" si="0"/>
        <v>0</v>
      </c>
      <c r="K29" s="69"/>
    </row>
    <row r="30" spans="1:11" ht="15" hidden="1">
      <c r="A30" s="63" t="s">
        <v>222</v>
      </c>
      <c r="B30" s="49" t="s">
        <v>481</v>
      </c>
      <c r="C30" s="69" t="s">
        <v>211</v>
      </c>
      <c r="D30" s="69" t="s">
        <v>211</v>
      </c>
      <c r="E30" s="85"/>
      <c r="F30" s="100"/>
      <c r="G30" s="69" t="s">
        <v>356</v>
      </c>
      <c r="H30" s="46"/>
      <c r="I30" s="46">
        <f>0*(ROUND(H30*'Hệ số'!C10,0))</f>
        <v>0</v>
      </c>
      <c r="J30" s="46">
        <f t="shared" si="0"/>
        <v>0</v>
      </c>
      <c r="K30" s="69"/>
    </row>
    <row r="31" spans="1:11" ht="30" hidden="1">
      <c r="A31" s="63" t="s">
        <v>187</v>
      </c>
      <c r="B31" s="49" t="s">
        <v>564</v>
      </c>
      <c r="C31" s="69" t="s">
        <v>62</v>
      </c>
      <c r="D31" s="69" t="s">
        <v>607</v>
      </c>
      <c r="E31" s="85"/>
      <c r="F31" s="100"/>
      <c r="G31" s="69" t="s">
        <v>356</v>
      </c>
      <c r="H31" s="46">
        <f>0*(ROUND(H13*E31,0))</f>
        <v>0</v>
      </c>
      <c r="I31" s="46">
        <f>0*(ROUND(H31*'Hệ số'!C10,0))</f>
        <v>0</v>
      </c>
      <c r="J31" s="46">
        <f t="shared" si="0"/>
        <v>0</v>
      </c>
      <c r="K31" s="69"/>
    </row>
    <row r="32" spans="1:11" ht="30" hidden="1">
      <c r="A32" s="63" t="s">
        <v>175</v>
      </c>
      <c r="B32" s="49" t="s">
        <v>257</v>
      </c>
      <c r="C32" s="69" t="s">
        <v>438</v>
      </c>
      <c r="D32" s="69" t="s">
        <v>607</v>
      </c>
      <c r="E32" s="85"/>
      <c r="F32" s="100"/>
      <c r="G32" s="69" t="s">
        <v>356</v>
      </c>
      <c r="H32" s="46">
        <f>0*(ROUND(H13*E32,0))</f>
        <v>0</v>
      </c>
      <c r="I32" s="46">
        <f>0*(ROUND(H32*'Hệ số'!C10,0))</f>
        <v>0</v>
      </c>
      <c r="J32" s="46">
        <f t="shared" si="0"/>
        <v>0</v>
      </c>
      <c r="K32" s="69"/>
    </row>
    <row r="33" spans="1:11" ht="30" hidden="1">
      <c r="A33" s="63" t="s">
        <v>163</v>
      </c>
      <c r="B33" s="49" t="s">
        <v>16</v>
      </c>
      <c r="C33" s="69" t="s">
        <v>149</v>
      </c>
      <c r="D33" s="69" t="s">
        <v>562</v>
      </c>
      <c r="E33" s="50">
        <v>0.00189</v>
      </c>
      <c r="F33" s="100"/>
      <c r="G33" s="69" t="s">
        <v>356</v>
      </c>
      <c r="H33" s="46">
        <f>0*(MAX(ROUND(H13*E33,0),IF(E33&gt;0,2000000,0)))</f>
        <v>0</v>
      </c>
      <c r="I33" s="46">
        <f>0*(ROUND(H33*'Hệ số'!C10,0))</f>
        <v>0</v>
      </c>
      <c r="J33" s="46">
        <f t="shared" si="0"/>
        <v>0</v>
      </c>
      <c r="K33" s="69"/>
    </row>
    <row r="34" spans="1:11" ht="30" hidden="1">
      <c r="A34" s="63" t="s">
        <v>155</v>
      </c>
      <c r="B34" s="49" t="s">
        <v>314</v>
      </c>
      <c r="C34" s="69" t="s">
        <v>339</v>
      </c>
      <c r="D34" s="69" t="s">
        <v>490</v>
      </c>
      <c r="E34" s="50">
        <v>0.00183</v>
      </c>
      <c r="F34" s="100"/>
      <c r="G34" s="69" t="s">
        <v>356</v>
      </c>
      <c r="H34" s="46">
        <f>0*(MAX(ROUND(H13*E34,0),IF(E34&gt;0,2000000,0)))</f>
        <v>0</v>
      </c>
      <c r="I34" s="46">
        <f>0*(ROUND(H34*'Hệ số'!C10,0))</f>
        <v>0</v>
      </c>
      <c r="J34" s="46">
        <f t="shared" si="0"/>
        <v>0</v>
      </c>
      <c r="K34" s="69"/>
    </row>
    <row r="35" spans="1:11" ht="30" hidden="1">
      <c r="A35" s="63" t="s">
        <v>122</v>
      </c>
      <c r="B35" s="49" t="s">
        <v>582</v>
      </c>
      <c r="C35" s="69" t="s">
        <v>339</v>
      </c>
      <c r="D35" s="69" t="s">
        <v>490</v>
      </c>
      <c r="E35" s="50">
        <v>0.00183</v>
      </c>
      <c r="F35" s="100"/>
      <c r="G35" s="69" t="s">
        <v>356</v>
      </c>
      <c r="H35" s="46"/>
      <c r="I35" s="46">
        <f>0*(ROUND(H35*'Hệ số'!C10,0))</f>
        <v>0</v>
      </c>
      <c r="J35" s="46">
        <f t="shared" si="0"/>
        <v>0</v>
      </c>
      <c r="K35" s="69"/>
    </row>
    <row r="36" spans="1:11" ht="30" hidden="1">
      <c r="A36" s="63" t="s">
        <v>106</v>
      </c>
      <c r="B36" s="49" t="s">
        <v>249</v>
      </c>
      <c r="C36" s="69" t="s">
        <v>223</v>
      </c>
      <c r="D36" s="69" t="s">
        <v>221</v>
      </c>
      <c r="E36" s="87">
        <v>0</v>
      </c>
      <c r="F36" s="100"/>
      <c r="G36" s="69" t="s">
        <v>356</v>
      </c>
      <c r="H36" s="46">
        <f>0*(ROUND(9799798*E36,0))</f>
        <v>0</v>
      </c>
      <c r="I36" s="46">
        <f>0*(ROUND(H36*'Hệ số'!C10,0))</f>
        <v>0</v>
      </c>
      <c r="J36" s="46">
        <f t="shared" si="0"/>
        <v>0</v>
      </c>
      <c r="K36" s="69"/>
    </row>
    <row r="37" spans="1:11" ht="45" hidden="1">
      <c r="A37" s="63" t="s">
        <v>98</v>
      </c>
      <c r="B37" s="49" t="s">
        <v>586</v>
      </c>
      <c r="C37" s="69" t="s">
        <v>409</v>
      </c>
      <c r="D37" s="69" t="s">
        <v>24</v>
      </c>
      <c r="E37" s="50">
        <v>0.00361</v>
      </c>
      <c r="F37" s="100"/>
      <c r="G37" s="69" t="s">
        <v>356</v>
      </c>
      <c r="H37" s="46"/>
      <c r="I37" s="46">
        <f>0*(ROUND(H37*'Hệ số'!C10,0))</f>
        <v>0</v>
      </c>
      <c r="J37" s="46">
        <f t="shared" si="0"/>
        <v>0</v>
      </c>
      <c r="K37" s="69"/>
    </row>
    <row r="38" spans="1:11" ht="45" hidden="1">
      <c r="A38" s="63" t="s">
        <v>260</v>
      </c>
      <c r="B38" s="49" t="s">
        <v>227</v>
      </c>
      <c r="C38" s="69" t="s">
        <v>492</v>
      </c>
      <c r="D38" s="69" t="s">
        <v>160</v>
      </c>
      <c r="E38" s="50">
        <v>0.00281</v>
      </c>
      <c r="F38" s="100"/>
      <c r="G38" s="69" t="s">
        <v>356</v>
      </c>
      <c r="H38" s="46">
        <f>0*(ROUND(H16*E38,0))</f>
        <v>0</v>
      </c>
      <c r="I38" s="46">
        <f>0*(ROUND(H38*'Hệ số'!C10,0))</f>
        <v>0</v>
      </c>
      <c r="J38" s="46">
        <f t="shared" si="0"/>
        <v>0</v>
      </c>
      <c r="K38" s="69"/>
    </row>
    <row r="39" spans="1:11" ht="30">
      <c r="A39" s="63">
        <v>3</v>
      </c>
      <c r="B39" s="49" t="s">
        <v>93</v>
      </c>
      <c r="C39" s="69" t="s">
        <v>493</v>
      </c>
      <c r="D39" s="69" t="s">
        <v>486</v>
      </c>
      <c r="E39" s="50">
        <v>0.02598</v>
      </c>
      <c r="F39" s="100"/>
      <c r="G39" s="69" t="s">
        <v>356</v>
      </c>
      <c r="H39" s="46">
        <f>1799798</f>
        <v>1799798</v>
      </c>
      <c r="I39" s="46">
        <f>ROUND(H39*'Hệ số'!C10,0)</f>
        <v>179980</v>
      </c>
      <c r="J39" s="46">
        <f>ROUND(H39+I39,0)</f>
        <v>1979778</v>
      </c>
      <c r="K39" s="69"/>
    </row>
    <row r="40" spans="1:11" ht="30" hidden="1">
      <c r="A40" s="63" t="s">
        <v>243</v>
      </c>
      <c r="B40" s="49" t="s">
        <v>282</v>
      </c>
      <c r="C40" s="69" t="s">
        <v>295</v>
      </c>
      <c r="D40" s="69" t="s">
        <v>142</v>
      </c>
      <c r="E40" s="50">
        <v>0.00718</v>
      </c>
      <c r="F40" s="100"/>
      <c r="G40" s="69" t="s">
        <v>356</v>
      </c>
      <c r="H40" s="46"/>
      <c r="I40" s="46">
        <f>0*(ROUND(H40*'Hệ số'!C10,0))</f>
        <v>0</v>
      </c>
      <c r="J40" s="46">
        <f aca="true" t="shared" si="1" ref="J40:J49">0*(ROUND(H40+I40,0))</f>
        <v>0</v>
      </c>
      <c r="K40" s="69"/>
    </row>
    <row r="41" spans="1:11" ht="30" hidden="1">
      <c r="A41" s="63" t="s">
        <v>228</v>
      </c>
      <c r="B41" s="49" t="s">
        <v>397</v>
      </c>
      <c r="C41" s="69" t="s">
        <v>25</v>
      </c>
      <c r="D41" s="69" t="s">
        <v>218</v>
      </c>
      <c r="E41" s="50">
        <v>0.04072</v>
      </c>
      <c r="F41" s="100"/>
      <c r="G41" s="69" t="s">
        <v>356</v>
      </c>
      <c r="H41" s="46">
        <f>0*(ROUND((H19+H20)*E41,0))</f>
        <v>0</v>
      </c>
      <c r="I41" s="46">
        <f>0*(ROUND(H41*'Hệ số'!C10,0))</f>
        <v>0</v>
      </c>
      <c r="J41" s="46">
        <f t="shared" si="1"/>
        <v>0</v>
      </c>
      <c r="K41" s="69"/>
    </row>
    <row r="42" spans="1:11" ht="30" hidden="1">
      <c r="A42" s="63" t="s">
        <v>194</v>
      </c>
      <c r="B42" s="49" t="s">
        <v>321</v>
      </c>
      <c r="C42" s="69"/>
      <c r="D42" s="69"/>
      <c r="E42" s="4">
        <v>0.0005</v>
      </c>
      <c r="F42" s="100"/>
      <c r="G42" s="69" t="s">
        <v>356</v>
      </c>
      <c r="H42" s="46"/>
      <c r="I42" s="46">
        <f>0*(ROUND(H42*'Hệ số'!C10,0))</f>
        <v>0</v>
      </c>
      <c r="J42" s="46">
        <f t="shared" si="1"/>
        <v>0</v>
      </c>
      <c r="K42" s="69"/>
    </row>
    <row r="43" spans="1:11" ht="30" hidden="1">
      <c r="A43" s="63" t="s">
        <v>185</v>
      </c>
      <c r="B43" s="49" t="s">
        <v>592</v>
      </c>
      <c r="C43" s="69"/>
      <c r="D43" s="69"/>
      <c r="E43" s="4">
        <v>0.0003</v>
      </c>
      <c r="F43" s="100"/>
      <c r="G43" s="69" t="s">
        <v>356</v>
      </c>
      <c r="H43" s="46"/>
      <c r="I43" s="46">
        <f>0*(ROUND(H43*'Hệ số'!C10,0))</f>
        <v>0</v>
      </c>
      <c r="J43" s="46">
        <f t="shared" si="1"/>
        <v>0</v>
      </c>
      <c r="K43" s="69"/>
    </row>
    <row r="44" spans="1:11" ht="30" hidden="1">
      <c r="A44" s="63" t="s">
        <v>172</v>
      </c>
      <c r="B44" s="49" t="s">
        <v>115</v>
      </c>
      <c r="C44" s="69"/>
      <c r="D44" s="69"/>
      <c r="E44" s="83">
        <v>0.001</v>
      </c>
      <c r="F44" s="100"/>
      <c r="G44" s="69" t="s">
        <v>356</v>
      </c>
      <c r="H44" s="46"/>
      <c r="I44" s="46">
        <f>0*(ROUND(H44*'Hệ số'!C10,0))</f>
        <v>0</v>
      </c>
      <c r="J44" s="46">
        <f t="shared" si="1"/>
        <v>0</v>
      </c>
      <c r="K44" s="69"/>
    </row>
    <row r="45" spans="1:11" ht="30" hidden="1">
      <c r="A45" s="63" t="s">
        <v>161</v>
      </c>
      <c r="B45" s="49" t="s">
        <v>203</v>
      </c>
      <c r="C45" s="69"/>
      <c r="D45" s="69"/>
      <c r="E45" s="4">
        <v>0.0005</v>
      </c>
      <c r="F45" s="100"/>
      <c r="G45" s="69" t="s">
        <v>356</v>
      </c>
      <c r="H45" s="46"/>
      <c r="I45" s="46">
        <f>0*(ROUND(H45*'Hệ số'!C10,0))</f>
        <v>0</v>
      </c>
      <c r="J45" s="46">
        <f t="shared" si="1"/>
        <v>0</v>
      </c>
      <c r="K45" s="69"/>
    </row>
    <row r="46" spans="1:11" ht="30" hidden="1">
      <c r="A46" s="63" t="s">
        <v>128</v>
      </c>
      <c r="B46" s="49" t="s">
        <v>505</v>
      </c>
      <c r="C46" s="69"/>
      <c r="D46" s="69"/>
      <c r="E46" s="83">
        <v>0.001</v>
      </c>
      <c r="F46" s="100"/>
      <c r="G46" s="69" t="s">
        <v>356</v>
      </c>
      <c r="H46" s="46"/>
      <c r="I46" s="46">
        <f>0*(ROUND(H46*'Hệ số'!C10,0))</f>
        <v>0</v>
      </c>
      <c r="J46" s="46">
        <f t="shared" si="1"/>
        <v>0</v>
      </c>
      <c r="K46" s="69"/>
    </row>
    <row r="47" spans="1:11" ht="45" hidden="1">
      <c r="A47" s="63" t="s">
        <v>118</v>
      </c>
      <c r="B47" s="49" t="s">
        <v>596</v>
      </c>
      <c r="C47" s="69"/>
      <c r="D47" s="69"/>
      <c r="E47" s="4">
        <v>0.0002</v>
      </c>
      <c r="F47" s="100"/>
      <c r="G47" s="69" t="s">
        <v>356</v>
      </c>
      <c r="H47" s="46"/>
      <c r="I47" s="46">
        <f>0*(ROUND(H47*'Hệ số'!C10,0))</f>
        <v>0</v>
      </c>
      <c r="J47" s="46">
        <f t="shared" si="1"/>
        <v>0</v>
      </c>
      <c r="K47" s="69"/>
    </row>
    <row r="48" spans="1:11" ht="30" hidden="1">
      <c r="A48" s="63" t="s">
        <v>320</v>
      </c>
      <c r="B48" s="49" t="s">
        <v>253</v>
      </c>
      <c r="C48" s="69"/>
      <c r="D48" s="69"/>
      <c r="E48" s="4">
        <v>0.0005</v>
      </c>
      <c r="F48" s="100"/>
      <c r="G48" s="69" t="s">
        <v>356</v>
      </c>
      <c r="H48" s="46"/>
      <c r="I48" s="46">
        <f>0*(ROUND(H48*'Hệ số'!C10,0))</f>
        <v>0</v>
      </c>
      <c r="J48" s="46">
        <f t="shared" si="1"/>
        <v>0</v>
      </c>
      <c r="K48" s="69"/>
    </row>
    <row r="49" spans="1:11" ht="30" hidden="1">
      <c r="A49" s="63" t="s">
        <v>272</v>
      </c>
      <c r="B49" s="49" t="s">
        <v>319</v>
      </c>
      <c r="C49" s="69"/>
      <c r="D49" s="69"/>
      <c r="E49" s="4">
        <v>0.0005</v>
      </c>
      <c r="F49" s="100"/>
      <c r="G49" s="69" t="s">
        <v>356</v>
      </c>
      <c r="H49" s="46"/>
      <c r="I49" s="46">
        <f>0*(ROUND(H49*'Hệ số'!C10,0))</f>
        <v>0</v>
      </c>
      <c r="J49" s="46">
        <f t="shared" si="1"/>
        <v>0</v>
      </c>
      <c r="K49" s="69"/>
    </row>
    <row r="50" spans="1:11" ht="30">
      <c r="A50" s="98" t="s">
        <v>270</v>
      </c>
      <c r="B50" s="75" t="s">
        <v>41</v>
      </c>
      <c r="C50" s="103"/>
      <c r="D50" s="103"/>
      <c r="E50" s="113"/>
      <c r="F50" s="125"/>
      <c r="G50" s="69" t="s">
        <v>356</v>
      </c>
      <c r="H50" s="72">
        <f>SUM(H51:H67)</f>
        <v>530102</v>
      </c>
      <c r="I50" s="72">
        <f>SUM(I51:I67)</f>
        <v>0</v>
      </c>
      <c r="J50" s="72">
        <f>ROUND(SUM(J51:J67),-3)</f>
        <v>530000</v>
      </c>
      <c r="K50" s="103" t="s">
        <v>495</v>
      </c>
    </row>
    <row r="51" spans="1:11" ht="15" hidden="1">
      <c r="A51" s="63" t="s">
        <v>237</v>
      </c>
      <c r="B51" s="49" t="s">
        <v>591</v>
      </c>
      <c r="C51" s="69" t="s">
        <v>176</v>
      </c>
      <c r="D51" s="69" t="s">
        <v>176</v>
      </c>
      <c r="E51" s="85"/>
      <c r="F51" s="100"/>
      <c r="G51" s="69" t="s">
        <v>356</v>
      </c>
      <c r="H51" s="46"/>
      <c r="I51" s="46">
        <f>0*(ROUND(H51*'Hệ số'!C10,0))</f>
        <v>0</v>
      </c>
      <c r="J51" s="46">
        <f>0*(ROUND(H51+I51,0))</f>
        <v>0</v>
      </c>
      <c r="K51" s="69"/>
    </row>
    <row r="52" spans="1:11" ht="30" hidden="1">
      <c r="A52" s="63" t="s">
        <v>225</v>
      </c>
      <c r="B52" s="49" t="s">
        <v>410</v>
      </c>
      <c r="C52" s="69" t="s">
        <v>523</v>
      </c>
      <c r="D52" s="69" t="s">
        <v>523</v>
      </c>
      <c r="E52" s="85"/>
      <c r="F52" s="100"/>
      <c r="G52" s="69" t="s">
        <v>356</v>
      </c>
      <c r="H52" s="46">
        <f>0*(ROUND(H13*E52,0))</f>
        <v>0</v>
      </c>
      <c r="I52" s="46">
        <f>0*(ROUND(H52*'Hệ số'!C10,0))</f>
        <v>0</v>
      </c>
      <c r="J52" s="46">
        <f>0*(ROUND(H52+I52,0))</f>
        <v>0</v>
      </c>
      <c r="K52" s="69"/>
    </row>
    <row r="53" spans="1:11" ht="30" hidden="1">
      <c r="A53" s="63" t="s">
        <v>183</v>
      </c>
      <c r="B53" s="49" t="s">
        <v>460</v>
      </c>
      <c r="C53" s="69" t="s">
        <v>461</v>
      </c>
      <c r="D53" s="69" t="s">
        <v>461</v>
      </c>
      <c r="E53" s="50">
        <v>0.00019</v>
      </c>
      <c r="F53" s="100"/>
      <c r="G53" s="69" t="s">
        <v>356</v>
      </c>
      <c r="H53" s="46">
        <f>0*(MIN(ROUND((90000319)*E54,0),150000000))</f>
        <v>0</v>
      </c>
      <c r="I53" s="46"/>
      <c r="J53" s="46">
        <f>0*(ROUND(H54+I54,0))</f>
        <v>0</v>
      </c>
      <c r="K53" s="69"/>
    </row>
    <row r="54" spans="1:11" ht="30">
      <c r="A54" s="63">
        <v>1</v>
      </c>
      <c r="B54" s="49" t="s">
        <v>177</v>
      </c>
      <c r="C54" s="69" t="s">
        <v>461</v>
      </c>
      <c r="D54" s="69" t="s">
        <v>90</v>
      </c>
      <c r="E54" s="50">
        <v>0.00019</v>
      </c>
      <c r="F54" s="100"/>
      <c r="G54" s="69" t="s">
        <v>356</v>
      </c>
      <c r="H54" s="46">
        <f>MIN(ROUND((90000319)*E54,0),150000000)</f>
        <v>17100</v>
      </c>
      <c r="I54" s="46"/>
      <c r="J54" s="46">
        <f>ROUND(H54+I54,0)</f>
        <v>17100</v>
      </c>
      <c r="K54" s="69"/>
    </row>
    <row r="55" spans="1:11" ht="30">
      <c r="A55" s="63">
        <v>2</v>
      </c>
      <c r="B55" s="49" t="s">
        <v>196</v>
      </c>
      <c r="C55" s="69" t="s">
        <v>611</v>
      </c>
      <c r="D55" s="69" t="s">
        <v>57</v>
      </c>
      <c r="E55" s="4">
        <v>0.0057</v>
      </c>
      <c r="F55" s="100"/>
      <c r="G55" s="69" t="s">
        <v>618</v>
      </c>
      <c r="H55" s="46">
        <f>MAX(ROUND((90000319)*E55,0),IF(E55&gt;0,500000,0))</f>
        <v>513002</v>
      </c>
      <c r="I55" s="46"/>
      <c r="J55" s="46">
        <f>H55</f>
        <v>513002</v>
      </c>
      <c r="K55" s="69"/>
    </row>
    <row r="56" spans="1:11" ht="45" hidden="1">
      <c r="A56" s="63" t="s">
        <v>170</v>
      </c>
      <c r="B56" s="49" t="s">
        <v>526</v>
      </c>
      <c r="C56" s="69" t="s">
        <v>565</v>
      </c>
      <c r="D56" s="69" t="s">
        <v>405</v>
      </c>
      <c r="E56" s="87">
        <v>0</v>
      </c>
      <c r="F56" s="100"/>
      <c r="G56" s="69" t="s">
        <v>61</v>
      </c>
      <c r="H56" s="46">
        <f>0*(MAX(ROUND((90000319)*E56,0),IF(E56&gt;0,1000000,0)))</f>
        <v>0</v>
      </c>
      <c r="I56" s="46">
        <f>0*(ROUND(H56*'Hệ số'!C10,0))</f>
        <v>0</v>
      </c>
      <c r="J56" s="46">
        <f>0*(ROUND(H56+I56,0))</f>
        <v>0</v>
      </c>
      <c r="K56" s="69"/>
    </row>
    <row r="57" spans="1:11" ht="30" hidden="1">
      <c r="A57" s="63" t="s">
        <v>170</v>
      </c>
      <c r="B57" s="49" t="s">
        <v>577</v>
      </c>
      <c r="C57" s="69" t="s">
        <v>611</v>
      </c>
      <c r="D57" s="69" t="s">
        <v>498</v>
      </c>
      <c r="E57" s="4">
        <v>0.0057</v>
      </c>
      <c r="F57" s="100"/>
      <c r="G57" s="69" t="s">
        <v>87</v>
      </c>
      <c r="H57" s="46">
        <f>0*(MAX(ROUND((90000319)*E57,0),IF(E57&gt;0,500000,0)))</f>
        <v>0</v>
      </c>
      <c r="I57" s="46"/>
      <c r="J57" s="46">
        <f>0*(H57)</f>
        <v>0</v>
      </c>
      <c r="K57" s="69"/>
    </row>
    <row r="58" spans="1:11" ht="30" hidden="1">
      <c r="A58" s="63" t="s">
        <v>159</v>
      </c>
      <c r="B58" s="49" t="s">
        <v>296</v>
      </c>
      <c r="C58" s="69" t="s">
        <v>565</v>
      </c>
      <c r="D58" s="69" t="s">
        <v>241</v>
      </c>
      <c r="E58" s="87">
        <v>0</v>
      </c>
      <c r="F58" s="100"/>
      <c r="G58" s="69" t="s">
        <v>87</v>
      </c>
      <c r="H58" s="46">
        <f>0*(MAX(ROUND((90000319)*E58,0),IF(E58&gt;0,1000000,0)))</f>
        <v>0</v>
      </c>
      <c r="I58" s="46">
        <f>0*(ROUND(H58*'Hệ số'!C10,0))</f>
        <v>0</v>
      </c>
      <c r="J58" s="46">
        <f aca="true" t="shared" si="2" ref="J58:J67">0*(ROUND(H58+I58,0))</f>
        <v>0</v>
      </c>
      <c r="K58" s="69"/>
    </row>
    <row r="59" spans="1:11" ht="30" hidden="1">
      <c r="A59" s="63" t="s">
        <v>127</v>
      </c>
      <c r="B59" s="31" t="s">
        <v>477</v>
      </c>
      <c r="C59" s="69" t="s">
        <v>146</v>
      </c>
      <c r="D59" s="69" t="s">
        <v>263</v>
      </c>
      <c r="E59" s="50">
        <v>0.00121</v>
      </c>
      <c r="F59" s="100"/>
      <c r="G59" s="69" t="s">
        <v>356</v>
      </c>
      <c r="H59" s="46">
        <f>0*(ROUND(H13*E59,0))</f>
        <v>0</v>
      </c>
      <c r="I59" s="46"/>
      <c r="J59" s="46">
        <f t="shared" si="2"/>
        <v>0</v>
      </c>
      <c r="K59" s="69"/>
    </row>
    <row r="60" spans="1:11" ht="30" hidden="1">
      <c r="A60" s="63" t="s">
        <v>159</v>
      </c>
      <c r="B60" s="49" t="s">
        <v>437</v>
      </c>
      <c r="C60" s="69" t="s">
        <v>146</v>
      </c>
      <c r="D60" s="69" t="s">
        <v>171</v>
      </c>
      <c r="E60" s="85"/>
      <c r="F60" s="100"/>
      <c r="G60" s="69" t="s">
        <v>356</v>
      </c>
      <c r="H60" s="46">
        <f>0*(ROUND(H13*E60,0))</f>
        <v>0</v>
      </c>
      <c r="I60" s="46"/>
      <c r="J60" s="46">
        <f t="shared" si="2"/>
        <v>0</v>
      </c>
      <c r="K60" s="69"/>
    </row>
    <row r="61" spans="1:11" ht="30" hidden="1">
      <c r="A61" s="63" t="s">
        <v>113</v>
      </c>
      <c r="B61" s="31" t="s">
        <v>560</v>
      </c>
      <c r="C61" s="69" t="s">
        <v>154</v>
      </c>
      <c r="D61" s="69" t="s">
        <v>573</v>
      </c>
      <c r="E61" s="50">
        <v>0.00117</v>
      </c>
      <c r="F61" s="100"/>
      <c r="G61" s="69" t="s">
        <v>356</v>
      </c>
      <c r="H61" s="46">
        <f>0*(ROUND(H13*E61,0))</f>
        <v>0</v>
      </c>
      <c r="I61" s="46"/>
      <c r="J61" s="46">
        <f t="shared" si="2"/>
        <v>0</v>
      </c>
      <c r="K61" s="69"/>
    </row>
    <row r="62" spans="1:11" ht="30" hidden="1">
      <c r="A62" s="63" t="s">
        <v>127</v>
      </c>
      <c r="B62" s="49" t="s">
        <v>533</v>
      </c>
      <c r="C62" s="69" t="s">
        <v>154</v>
      </c>
      <c r="D62" s="69" t="s">
        <v>419</v>
      </c>
      <c r="E62" s="85"/>
      <c r="F62" s="100"/>
      <c r="G62" s="69" t="s">
        <v>356</v>
      </c>
      <c r="H62" s="46">
        <f>0*(ROUND(H13*E62,0))</f>
        <v>0</v>
      </c>
      <c r="I62" s="46"/>
      <c r="J62" s="46">
        <f t="shared" si="2"/>
        <v>0</v>
      </c>
      <c r="K62" s="69"/>
    </row>
    <row r="63" spans="1:11" ht="30" hidden="1">
      <c r="A63" s="63" t="s">
        <v>100</v>
      </c>
      <c r="B63" s="49" t="s">
        <v>63</v>
      </c>
      <c r="C63" s="69" t="s">
        <v>353</v>
      </c>
      <c r="D63" s="69" t="s">
        <v>353</v>
      </c>
      <c r="E63" s="87">
        <v>0</v>
      </c>
      <c r="F63" s="100"/>
      <c r="G63" s="69" t="s">
        <v>87</v>
      </c>
      <c r="H63" s="46">
        <f>0*(MIN(MAX(ROUND((90000319)*E63,0),IF(E63&gt;0,2000000,0)),150000000))</f>
        <v>0</v>
      </c>
      <c r="I63" s="46">
        <f>0*(ROUND(H63*'Hệ số'!C10,0))</f>
        <v>0</v>
      </c>
      <c r="J63" s="46">
        <f t="shared" si="2"/>
        <v>0</v>
      </c>
      <c r="K63" s="69"/>
    </row>
    <row r="64" spans="1:11" ht="45" hidden="1">
      <c r="A64" s="63" t="s">
        <v>113</v>
      </c>
      <c r="B64" s="49" t="s">
        <v>286</v>
      </c>
      <c r="C64" s="69" t="s">
        <v>353</v>
      </c>
      <c r="D64" s="69" t="s">
        <v>255</v>
      </c>
      <c r="E64" s="87">
        <v>0</v>
      </c>
      <c r="F64" s="100"/>
      <c r="G64" s="69" t="s">
        <v>87</v>
      </c>
      <c r="H64" s="46">
        <f>0*(MIN(MAX(ROUND((90000319)*E64,0),IF(E64&gt;0,500000,0)),150000000))</f>
        <v>0</v>
      </c>
      <c r="I64" s="46">
        <f>0*(ROUND(H64*'Hệ số'!C10,0))</f>
        <v>0</v>
      </c>
      <c r="J64" s="46">
        <f t="shared" si="2"/>
        <v>0</v>
      </c>
      <c r="K64" s="69"/>
    </row>
    <row r="65" spans="1:11" ht="30" hidden="1">
      <c r="A65" s="63" t="s">
        <v>100</v>
      </c>
      <c r="B65" s="49" t="s">
        <v>13</v>
      </c>
      <c r="C65" s="69"/>
      <c r="D65" s="69"/>
      <c r="E65" s="87">
        <v>0.2</v>
      </c>
      <c r="F65" s="100"/>
      <c r="G65" s="69" t="s">
        <v>180</v>
      </c>
      <c r="H65" s="46">
        <f>0*(ROUND(H17*E65,0))</f>
        <v>0</v>
      </c>
      <c r="I65" s="46">
        <f>0*(ROUND(H65*'Hệ số'!C10,0))</f>
        <v>0</v>
      </c>
      <c r="J65" s="46">
        <f t="shared" si="2"/>
        <v>0</v>
      </c>
      <c r="K65" s="69"/>
    </row>
    <row r="66" spans="1:11" ht="30" hidden="1">
      <c r="A66" s="63" t="s">
        <v>14</v>
      </c>
      <c r="B66" s="49" t="s">
        <v>21</v>
      </c>
      <c r="C66" s="69"/>
      <c r="D66" s="69"/>
      <c r="E66" s="85"/>
      <c r="F66" s="100"/>
      <c r="G66" s="69" t="s">
        <v>429</v>
      </c>
      <c r="H66" s="46">
        <f>0*(0)</f>
        <v>0</v>
      </c>
      <c r="I66" s="46">
        <f>0*(ROUND(H66*'Hệ số'!C10,0))</f>
        <v>0</v>
      </c>
      <c r="J66" s="46">
        <f t="shared" si="2"/>
        <v>0</v>
      </c>
      <c r="K66" s="69"/>
    </row>
    <row r="67" spans="1:11" ht="30" hidden="1">
      <c r="A67" s="63" t="s">
        <v>0</v>
      </c>
      <c r="B67" s="49" t="s">
        <v>343</v>
      </c>
      <c r="C67" s="69"/>
      <c r="D67" s="69"/>
      <c r="E67" s="87">
        <v>0.2</v>
      </c>
      <c r="F67" s="100"/>
      <c r="G67" s="69" t="s">
        <v>521</v>
      </c>
      <c r="H67" s="46">
        <f>0*(ROUND(H39*E67,0))</f>
        <v>0</v>
      </c>
      <c r="I67" s="46">
        <f>0*(ROUND(H67*'Hệ số'!C10,0))</f>
        <v>0</v>
      </c>
      <c r="J67" s="46">
        <f t="shared" si="2"/>
        <v>0</v>
      </c>
      <c r="K67" s="69"/>
    </row>
    <row r="68" spans="1:11" ht="15" hidden="1">
      <c r="A68" s="98" t="s">
        <v>40</v>
      </c>
      <c r="B68" s="75" t="s">
        <v>393</v>
      </c>
      <c r="C68" s="103"/>
      <c r="D68" s="103"/>
      <c r="E68" s="113"/>
      <c r="F68" s="125"/>
      <c r="G68" s="103" t="s">
        <v>429</v>
      </c>
      <c r="H68" s="72">
        <f>0*(SUM(H69:H70))</f>
        <v>0</v>
      </c>
      <c r="I68" s="72">
        <f>0*(SUM(I69:I70))</f>
        <v>0</v>
      </c>
      <c r="J68" s="72">
        <f>0*(SUM(J69:J70))</f>
        <v>0</v>
      </c>
      <c r="K68" s="103" t="s">
        <v>338</v>
      </c>
    </row>
    <row r="69" spans="1:11" ht="45" hidden="1">
      <c r="A69" s="63" t="s">
        <v>542</v>
      </c>
      <c r="B69" s="49" t="s">
        <v>388</v>
      </c>
      <c r="C69" s="69" t="s">
        <v>69</v>
      </c>
      <c r="D69" s="69" t="s">
        <v>69</v>
      </c>
      <c r="E69" s="87">
        <v>0.1</v>
      </c>
      <c r="F69" s="100"/>
      <c r="G69" s="69" t="s">
        <v>326</v>
      </c>
      <c r="H69" s="46"/>
      <c r="I69" s="46"/>
      <c r="J69" s="46">
        <f>0*(ROUND((J12+J13+J16+J17+J18+J50)*E69,0))</f>
        <v>0</v>
      </c>
      <c r="K69" s="69"/>
    </row>
    <row r="70" spans="1:11" ht="30" hidden="1">
      <c r="A70" s="63" t="s">
        <v>537</v>
      </c>
      <c r="B70" s="49" t="s">
        <v>430</v>
      </c>
      <c r="C70" s="69" t="s">
        <v>383</v>
      </c>
      <c r="D70" s="69" t="s">
        <v>383</v>
      </c>
      <c r="E70" s="85"/>
      <c r="F70" s="100"/>
      <c r="G70" s="69" t="s">
        <v>107</v>
      </c>
      <c r="H70" s="46"/>
      <c r="I70" s="46"/>
      <c r="J70" s="53"/>
      <c r="K70" s="69"/>
    </row>
    <row r="71" spans="1:11" ht="15">
      <c r="A71" s="63"/>
      <c r="B71" s="103" t="s">
        <v>39</v>
      </c>
      <c r="C71" s="69"/>
      <c r="D71" s="69"/>
      <c r="E71" s="85"/>
      <c r="F71" s="100"/>
      <c r="G71" s="69" t="s">
        <v>429</v>
      </c>
      <c r="H71" s="72">
        <f>H12+H13+H16+H17+H18+H50+H68</f>
        <v>82072420</v>
      </c>
      <c r="I71" s="72">
        <f>I12+I13+I16+I17+I18+I50+I68</f>
        <v>7927533</v>
      </c>
      <c r="J71" s="72">
        <f>J12+J13+J16+J17+J18+J50+J68</f>
        <v>90000000</v>
      </c>
      <c r="K71" s="103" t="s">
        <v>555</v>
      </c>
    </row>
    <row r="72" spans="1:11" ht="15">
      <c r="A72" s="127"/>
      <c r="B72" s="34" t="s">
        <v>389</v>
      </c>
      <c r="C72" s="134"/>
      <c r="D72" s="134"/>
      <c r="E72" s="17"/>
      <c r="F72" s="29"/>
      <c r="G72" s="134"/>
      <c r="H72" s="105"/>
      <c r="I72" s="105"/>
      <c r="J72" s="1">
        <f>ROUND(J71,-3)</f>
        <v>90000000</v>
      </c>
      <c r="K72" s="134"/>
    </row>
    <row r="73" spans="1:11" ht="18.75" customHeight="1">
      <c r="A73" s="153" t="s">
        <v>617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ht="16.5" customHeight="1">
      <c r="A74" s="128"/>
      <c r="B74" s="104"/>
      <c r="C74" s="128"/>
      <c r="D74" s="128"/>
      <c r="E74" s="25"/>
      <c r="F74" s="25"/>
      <c r="G74" s="128"/>
      <c r="H74" s="25"/>
      <c r="I74" s="25"/>
      <c r="J74" s="25"/>
      <c r="K74" s="128"/>
    </row>
    <row r="75" spans="1:11" ht="18" customHeight="1">
      <c r="A75" s="128"/>
      <c r="B75" s="30"/>
      <c r="C75" s="128"/>
      <c r="D75" s="128"/>
      <c r="E75" s="25"/>
      <c r="F75" s="25"/>
      <c r="G75" s="128"/>
      <c r="H75" s="25"/>
      <c r="I75" s="147"/>
      <c r="J75" s="147"/>
      <c r="K75" s="147"/>
    </row>
    <row r="76" spans="1:11" ht="16.5" customHeight="1">
      <c r="A76" s="128"/>
      <c r="B76" s="104"/>
      <c r="C76" s="128"/>
      <c r="D76" s="128"/>
      <c r="E76" s="25"/>
      <c r="F76" s="25"/>
      <c r="G76" s="128"/>
      <c r="H76" s="25"/>
      <c r="I76" s="25"/>
      <c r="J76" s="25"/>
      <c r="K76" s="128"/>
    </row>
    <row r="77" spans="1:11" ht="16.5" customHeight="1">
      <c r="A77" s="128"/>
      <c r="B77" s="104"/>
      <c r="C77" s="128"/>
      <c r="D77" s="128"/>
      <c r="E77" s="25"/>
      <c r="F77" s="25"/>
      <c r="G77" s="128"/>
      <c r="H77" s="25"/>
      <c r="I77" s="25"/>
      <c r="J77" s="25"/>
      <c r="K77" s="128"/>
    </row>
    <row r="78" spans="1:11" ht="16.5" customHeight="1">
      <c r="A78" s="128"/>
      <c r="B78" s="104"/>
      <c r="C78" s="128"/>
      <c r="D78" s="128"/>
      <c r="E78" s="25"/>
      <c r="F78" s="25"/>
      <c r="G78" s="128"/>
      <c r="H78" s="25"/>
      <c r="I78" s="25"/>
      <c r="J78" s="25"/>
      <c r="K78" s="128"/>
    </row>
    <row r="79" spans="1:11" ht="16.5" customHeight="1">
      <c r="A79" s="128"/>
      <c r="B79" s="104"/>
      <c r="C79" s="128"/>
      <c r="D79" s="128"/>
      <c r="E79" s="25"/>
      <c r="F79" s="25"/>
      <c r="G79" s="128"/>
      <c r="H79" s="25"/>
      <c r="I79" s="25"/>
      <c r="J79" s="25"/>
      <c r="K79" s="128"/>
    </row>
    <row r="80" spans="1:11" ht="18" customHeight="1">
      <c r="A80" s="128"/>
      <c r="B80" s="128"/>
      <c r="C80" s="128"/>
      <c r="D80" s="128"/>
      <c r="E80" s="25"/>
      <c r="F80" s="25"/>
      <c r="G80" s="128"/>
      <c r="H80" s="25"/>
      <c r="I80" s="145"/>
      <c r="J80" s="145"/>
      <c r="K80" s="145"/>
    </row>
    <row r="81" spans="1:11" ht="18" customHeight="1">
      <c r="A81" s="128"/>
      <c r="B81" s="128"/>
      <c r="C81" s="128"/>
      <c r="D81" s="128"/>
      <c r="E81" s="25"/>
      <c r="F81" s="25"/>
      <c r="G81" s="128"/>
      <c r="H81" s="25"/>
      <c r="I81" s="145"/>
      <c r="J81" s="145"/>
      <c r="K81" s="145"/>
    </row>
    <row r="82" spans="1:11" ht="18" customHeight="1">
      <c r="A82" s="128"/>
      <c r="B82" s="104"/>
      <c r="C82" s="128"/>
      <c r="D82" s="128"/>
      <c r="E82" s="25"/>
      <c r="F82" s="25"/>
      <c r="G82" s="128"/>
      <c r="H82" s="25"/>
      <c r="I82" s="145"/>
      <c r="J82" s="145"/>
      <c r="K82" s="145"/>
    </row>
    <row r="83" spans="1:11" ht="16.5" customHeight="1">
      <c r="A83" s="128"/>
      <c r="B83" s="104"/>
      <c r="C83" s="128"/>
      <c r="D83" s="128"/>
      <c r="E83" s="25"/>
      <c r="F83" s="25"/>
      <c r="G83" s="128"/>
      <c r="H83" s="25"/>
      <c r="I83" s="25"/>
      <c r="J83" s="25"/>
      <c r="K83" s="128"/>
    </row>
    <row r="126" ht="15"/>
    <row r="127" ht="15"/>
    <row r="128" ht="15"/>
    <row r="135" ht="15"/>
    <row r="136" ht="15"/>
    <row r="305" ht="15"/>
    <row r="306" ht="15"/>
  </sheetData>
  <sheetProtection/>
  <mergeCells count="15">
    <mergeCell ref="I81:K81"/>
    <mergeCell ref="I82:K82"/>
    <mergeCell ref="E7:G7"/>
    <mergeCell ref="E8:G8"/>
    <mergeCell ref="J10:K10"/>
    <mergeCell ref="A73:K73"/>
    <mergeCell ref="I75:K75"/>
    <mergeCell ref="I80:K80"/>
    <mergeCell ref="A9:K9"/>
    <mergeCell ref="A1:K1"/>
    <mergeCell ref="A2:K2"/>
    <mergeCell ref="H3:K3"/>
    <mergeCell ref="A4:K4"/>
    <mergeCell ref="E5:G5"/>
    <mergeCell ref="E6:G6"/>
  </mergeCells>
  <printOptions/>
  <pageMargins left="0.7" right="0.7" top="0.75" bottom="0.75" header="0.3" footer="0.3"/>
  <pageSetup horizontalDpi="600" verticalDpi="600" orientation="landscape" paperSize="9" r:id="rId3"/>
  <headerFooter alignWithMargins="0">
    <oddHeader>&amp;L&amp;BDự toán F1</oddHeader>
    <oddFooter>&amp;L&amp;I&amp;F\&amp;A Trang 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showZeros="0" zoomScalePageLayoutView="0" workbookViewId="0" topLeftCell="A1">
      <selection activeCell="A1" sqref="A1:E1"/>
    </sheetView>
  </sheetViews>
  <sheetFormatPr defaultColWidth="9.140625" defaultRowHeight="15"/>
  <cols>
    <col min="1" max="2" width="9.421875" style="130" customWidth="1"/>
    <col min="3" max="3" width="5.28125" style="130" customWidth="1"/>
    <col min="4" max="4" width="17.8515625" style="130" customWidth="1"/>
    <col min="5" max="5" width="1.8515625" style="130" customWidth="1"/>
    <col min="6" max="6" width="1.7109375" style="130" customWidth="1"/>
    <col min="7" max="7" width="25.00390625" style="130" customWidth="1"/>
    <col min="8" max="8" width="9.140625" style="130" customWidth="1"/>
    <col min="9" max="9" width="8.00390625" style="130" customWidth="1"/>
    <col min="10" max="10" width="8.28125" style="130" customWidth="1"/>
    <col min="11" max="11" width="7.8515625" style="130" customWidth="1"/>
    <col min="12" max="12" width="8.7109375" style="130" customWidth="1"/>
    <col min="13" max="13" width="8.28125" style="130" customWidth="1"/>
    <col min="14" max="14" width="7.57421875" style="130" customWidth="1"/>
    <col min="15" max="15" width="8.7109375" style="130" customWidth="1"/>
    <col min="16" max="16384" width="9.140625" style="130" customWidth="1"/>
  </cols>
  <sheetData>
    <row r="1" spans="1:15" ht="18" customHeight="1">
      <c r="A1" s="147" t="s">
        <v>129</v>
      </c>
      <c r="B1" s="147"/>
      <c r="C1" s="147"/>
      <c r="D1" s="147"/>
      <c r="E1" s="147"/>
      <c r="F1" s="104"/>
      <c r="G1" s="104"/>
      <c r="H1" s="147" t="s">
        <v>511</v>
      </c>
      <c r="I1" s="147"/>
      <c r="J1" s="147"/>
      <c r="K1" s="147"/>
      <c r="L1" s="147"/>
      <c r="M1" s="147"/>
      <c r="N1" s="147"/>
      <c r="O1" s="147"/>
    </row>
    <row r="2" spans="1:15" ht="18" customHeight="1">
      <c r="A2" s="104"/>
      <c r="B2" s="104"/>
      <c r="C2" s="104"/>
      <c r="D2" s="104"/>
      <c r="E2" s="104"/>
      <c r="F2" s="104"/>
      <c r="G2" s="104"/>
      <c r="H2" s="147" t="s">
        <v>384</v>
      </c>
      <c r="I2" s="147"/>
      <c r="J2" s="147"/>
      <c r="K2" s="147"/>
      <c r="L2" s="147"/>
      <c r="M2" s="147"/>
      <c r="N2" s="147"/>
      <c r="O2" s="147"/>
    </row>
    <row r="3" spans="1:15" ht="17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7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28.5" customHeight="1">
      <c r="A5" s="159" t="s">
        <v>168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19.5" customHeight="1">
      <c r="A6" s="150" t="str">
        <f>'Công trình'!A2</f>
        <v>Công trình: Sửa chữa nâng cấp mương suối Tú, bản Chại, xã Hiền Chung, huyện Quan Hóa, tỉnh Thanh Hóa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21.75" customHeight="1">
      <c r="A7" s="160" t="s">
        <v>451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9.5" customHeight="1">
      <c r="A8" s="161" t="s">
        <v>334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15" ht="18" customHeight="1">
      <c r="A9" s="162" t="s">
        <v>50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15" ht="30.75" customHeight="1">
      <c r="A10" s="162" t="s">
        <v>520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5" ht="18" customHeight="1">
      <c r="A11" s="162" t="s">
        <v>344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ht="18" customHeight="1">
      <c r="A12" s="162" t="s">
        <v>162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ht="18" customHeight="1">
      <c r="A13" s="162" t="s">
        <v>335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</row>
    <row r="14" spans="1:15" ht="18" customHeight="1">
      <c r="A14" s="162" t="s">
        <v>402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</row>
    <row r="15" spans="1:15" ht="18" customHeight="1">
      <c r="A15" s="162" t="s">
        <v>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</row>
    <row r="16" spans="1:15" ht="18" customHeight="1">
      <c r="A16" s="162" t="s">
        <v>248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8" customHeight="1">
      <c r="A17" s="162" t="s">
        <v>181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5" ht="19.5" customHeight="1">
      <c r="A18" s="161" t="s">
        <v>331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</row>
    <row r="19" spans="1:15" ht="18" customHeight="1">
      <c r="A19" s="162" t="s">
        <v>364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</row>
    <row r="20" spans="1:15" ht="18" customHeight="1">
      <c r="A20" s="162" t="s">
        <v>362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</row>
    <row r="21" spans="1:15" ht="18" customHeight="1">
      <c r="A21" s="162" t="s">
        <v>202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5" ht="19.5" customHeight="1">
      <c r="A22" s="161" t="s">
        <v>380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8" customHeight="1">
      <c r="A23" s="162" t="s">
        <v>52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</row>
    <row r="24" spans="1:15" ht="18" customHeight="1">
      <c r="A24" s="162" t="s">
        <v>431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</row>
    <row r="25" spans="1:15" ht="18" customHeight="1">
      <c r="A25" s="162" t="s">
        <v>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</row>
    <row r="26" spans="1:15" ht="18" customHeight="1">
      <c r="A26" s="162" t="s">
        <v>496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" customHeight="1">
      <c r="A27" s="162" t="s">
        <v>303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  <row r="28" spans="1:15" ht="18" customHeight="1">
      <c r="A28" s="162" t="s">
        <v>202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1:15" ht="17.2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</row>
    <row r="30" spans="1:15" ht="17.2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</row>
    <row r="31" spans="1:15" ht="21.75" customHeight="1">
      <c r="A31" s="160" t="s">
        <v>345</v>
      </c>
      <c r="B31" s="160"/>
      <c r="C31" s="160"/>
      <c r="D31" s="163">
        <f>'PHU LUC'!J72</f>
        <v>90000000</v>
      </c>
      <c r="E31" s="163"/>
      <c r="F31" s="163"/>
      <c r="G31" s="80" t="s">
        <v>232</v>
      </c>
      <c r="H31" s="104"/>
      <c r="I31" s="104"/>
      <c r="J31" s="42"/>
      <c r="K31" s="104"/>
      <c r="L31" s="104"/>
      <c r="M31" s="104"/>
      <c r="N31" s="104"/>
      <c r="O31" s="104"/>
    </row>
    <row r="32" spans="1:15" ht="18.75" customHeight="1">
      <c r="A32" s="164" t="e">
        <f>TienBangChu(D31)</f>
        <v>#NAME?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</row>
    <row r="33" spans="1:15" ht="17.2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ht="18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45" t="s">
        <v>2</v>
      </c>
      <c r="K34" s="145"/>
      <c r="L34" s="145"/>
      <c r="M34" s="145"/>
      <c r="N34" s="145"/>
      <c r="O34" s="145"/>
    </row>
    <row r="35" spans="1:15" ht="18" customHeight="1">
      <c r="A35" s="147" t="s">
        <v>311</v>
      </c>
      <c r="B35" s="147"/>
      <c r="C35" s="147"/>
      <c r="D35" s="147"/>
      <c r="E35" s="104"/>
      <c r="F35" s="104"/>
      <c r="G35" s="104"/>
      <c r="H35" s="104"/>
      <c r="I35" s="104"/>
      <c r="J35" s="147" t="s">
        <v>197</v>
      </c>
      <c r="K35" s="147"/>
      <c r="L35" s="147"/>
      <c r="M35" s="147"/>
      <c r="N35" s="147"/>
      <c r="O35" s="147"/>
    </row>
    <row r="36" spans="1:15" ht="17.2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ht="17.2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ht="17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15" ht="17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1:15" ht="17.2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  <row r="41" spans="1:15" ht="17.2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 ht="17.2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</sheetData>
  <sheetProtection/>
  <mergeCells count="35">
    <mergeCell ref="A32:O32"/>
    <mergeCell ref="J34:O34"/>
    <mergeCell ref="A35:D35"/>
    <mergeCell ref="J35:O35"/>
    <mergeCell ref="A26:O26"/>
    <mergeCell ref="A27:O27"/>
    <mergeCell ref="A28:O28"/>
    <mergeCell ref="A29:O29"/>
    <mergeCell ref="A30:O30"/>
    <mergeCell ref="A31:C31"/>
    <mergeCell ref="D31:F31"/>
    <mergeCell ref="A20:O20"/>
    <mergeCell ref="A21:O21"/>
    <mergeCell ref="A22:O22"/>
    <mergeCell ref="A23:O23"/>
    <mergeCell ref="A24:O24"/>
    <mergeCell ref="A25:O25"/>
    <mergeCell ref="A14:O14"/>
    <mergeCell ref="A15:O15"/>
    <mergeCell ref="A16:O16"/>
    <mergeCell ref="A17:O17"/>
    <mergeCell ref="A18:O18"/>
    <mergeCell ref="A19:O19"/>
    <mergeCell ref="A8:O8"/>
    <mergeCell ref="A9:O9"/>
    <mergeCell ref="A10:O10"/>
    <mergeCell ref="A11:O11"/>
    <mergeCell ref="A12:O12"/>
    <mergeCell ref="A13:O13"/>
    <mergeCell ref="A1:E1"/>
    <mergeCell ref="H1:O1"/>
    <mergeCell ref="H2:O2"/>
    <mergeCell ref="A5:O5"/>
    <mergeCell ref="A6:O6"/>
    <mergeCell ref="A7:O7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3.57421875" style="130" customWidth="1"/>
    <col min="2" max="2" width="3.7109375" style="130" customWidth="1"/>
    <col min="3" max="3" width="32.421875" style="130" customWidth="1"/>
    <col min="4" max="4" width="25.8515625" style="130" customWidth="1"/>
    <col min="5" max="5" width="28.8515625" style="130" customWidth="1"/>
    <col min="6" max="6" width="13.8515625" style="130" customWidth="1"/>
    <col min="7" max="8" width="5.28125" style="130" customWidth="1"/>
    <col min="9" max="10" width="5.421875" style="130" customWidth="1"/>
    <col min="11" max="11" width="5.57421875" style="130" customWidth="1"/>
    <col min="12" max="13" width="5.00390625" style="130" customWidth="1"/>
    <col min="14" max="14" width="10.57421875" style="130" customWidth="1"/>
    <col min="15" max="15" width="5.28125" style="130" customWidth="1"/>
    <col min="16" max="16384" width="9.140625" style="130" customWidth="1"/>
  </cols>
  <sheetData>
    <row r="1" spans="1:15" ht="17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8" customHeight="1">
      <c r="A2" s="147" t="s">
        <v>129</v>
      </c>
      <c r="B2" s="147"/>
      <c r="C2" s="147"/>
      <c r="D2" s="147"/>
      <c r="E2" s="104"/>
      <c r="F2" s="147" t="s">
        <v>217</v>
      </c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8" customHeight="1">
      <c r="A3" s="165" t="s">
        <v>601</v>
      </c>
      <c r="B3" s="165"/>
      <c r="C3" s="165"/>
      <c r="D3" s="165"/>
      <c r="E3" s="104"/>
      <c r="F3" s="147" t="s">
        <v>258</v>
      </c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8" customHeight="1">
      <c r="A4" s="145" t="s">
        <v>371</v>
      </c>
      <c r="B4" s="145"/>
      <c r="C4" s="145"/>
      <c r="D4" s="145"/>
      <c r="E4" s="104"/>
      <c r="F4" s="145" t="s">
        <v>276</v>
      </c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7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7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7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7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7.2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17.2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17.2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17.2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32.25" customHeight="1">
      <c r="A13" s="166" t="s">
        <v>480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5" ht="17.2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21" customHeight="1">
      <c r="A15" s="167" t="s">
        <v>29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6" spans="1:15" ht="17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ht="38.25" customHeight="1">
      <c r="A17" s="104"/>
      <c r="B17" s="104"/>
      <c r="C17" s="104"/>
      <c r="D17" s="80" t="s">
        <v>323</v>
      </c>
      <c r="E17" s="160" t="str">
        <f>IF(ISNUMBER(SEARCH(":",'Công trình'!A2)),TRIM(RIGHT('Công trình'!A2,LEN('Công trình'!A2)-FIND(":",'Công trình'!A2))),'Công trình'!A2)</f>
        <v>Sửa chữa nâng cấp mương suối Tú, bản Chại, xã Hiền Chung, huyện Quan Hóa, tỉnh Thanh Hóa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21.75" customHeight="1">
      <c r="A18" s="104"/>
      <c r="B18" s="104"/>
      <c r="C18" s="104"/>
      <c r="D18" s="80" t="s">
        <v>199</v>
      </c>
      <c r="E18" s="160" t="s">
        <v>341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t="21.75" customHeight="1">
      <c r="A19" s="104"/>
      <c r="B19" s="104"/>
      <c r="C19" s="104"/>
      <c r="D19" s="80" t="s">
        <v>165</v>
      </c>
      <c r="E19" s="160" t="s">
        <v>556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 ht="21.75" customHeight="1">
      <c r="A20" s="104"/>
      <c r="B20" s="104"/>
      <c r="C20" s="104"/>
      <c r="D20" s="80" t="s">
        <v>238</v>
      </c>
      <c r="E20" s="160" t="s">
        <v>553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7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7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17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7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ht="17.2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17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ht="17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ht="17.2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7.2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ht="17.2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ht="63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5" ht="16.5" customHeight="1">
      <c r="A32" s="147" t="s">
        <v>468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</row>
    <row r="33" spans="1:15" ht="4.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</sheetData>
  <sheetProtection/>
  <mergeCells count="13">
    <mergeCell ref="A32:O32"/>
    <mergeCell ref="A13:O13"/>
    <mergeCell ref="A15:O15"/>
    <mergeCell ref="E17:O17"/>
    <mergeCell ref="E18:O18"/>
    <mergeCell ref="E19:O19"/>
    <mergeCell ref="E20:O20"/>
    <mergeCell ref="A2:D2"/>
    <mergeCell ref="F2:O2"/>
    <mergeCell ref="A3:D3"/>
    <mergeCell ref="F3:O3"/>
    <mergeCell ref="A4:D4"/>
    <mergeCell ref="F4:O4"/>
  </mergeCells>
  <printOptions/>
  <pageMargins left="0.7" right="0.7" top="0.75" bottom="0.75" header="0.3" footer="0.3"/>
  <pageSetup horizontalDpi="600" verticalDpi="600" orientation="landscape" paperSize="9"/>
  <headerFooter alignWithMargins="0">
    <oddHeader>&amp;L&amp;BDự toán F1</oddHeader>
    <oddFooter>&amp;L&amp;I&amp;F\&amp;A 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8.1 VS 10 Update</dc:creator>
  <cp:keywords/>
  <dc:description/>
  <cp:lastModifiedBy>Win 8.1 VS 10 Update</cp:lastModifiedBy>
  <dcterms:created xsi:type="dcterms:W3CDTF">2021-12-20T04:14:17Z</dcterms:created>
  <dcterms:modified xsi:type="dcterms:W3CDTF">2021-12-20T04:15:05Z</dcterms:modified>
  <cp:category/>
  <cp:version/>
  <cp:contentType/>
  <cp:contentStatus/>
</cp:coreProperties>
</file>