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20730" windowHeight="11760" activeTab="1"/>
  </bookViews>
  <sheets>
    <sheet name="Thuyết minh" sheetId="1" r:id="rId1"/>
    <sheet name="PHU LỤC " sheetId="2" r:id="rId2"/>
    <sheet name="TH dự toán hạng mục" sheetId="3" r:id="rId3"/>
    <sheet name="Công trình" sheetId="4" r:id="rId4"/>
    <sheet name="Nhân công" sheetId="5" r:id="rId5"/>
    <sheet name="Máy thi công" sheetId="6" r:id="rId6"/>
    <sheet name="Hao phí vật tư" sheetId="7" r:id="rId7"/>
    <sheet name="Vật liệu" sheetId="8" r:id="rId8"/>
    <sheet name="TH dự toán công trình" sheetId="9" r:id="rId9"/>
    <sheet name="Đơn giá chi tiết" sheetId="10" r:id="rId10"/>
    <sheet name="Dự thầu" sheetId="11" r:id="rId11"/>
    <sheet name="TH giá dự thầu" sheetId="12" r:id="rId12"/>
    <sheet name="Dự phòng trượt giá" sheetId="13" r:id="rId13"/>
    <sheet name="Dự toán gói thầu xây dựng" sheetId="14" r:id="rId14"/>
    <sheet name="Dự toán gói thầu thiết bị" sheetId="15" r:id="rId15"/>
    <sheet name="Chi phí thiết bị" sheetId="16" r:id="rId16"/>
    <sheet name="Hạng mục chung" sheetId="17" r:id="rId17"/>
    <sheet name="Bìa ngoài" sheetId="18" r:id="rId18"/>
    <sheet name="Bìa trong" sheetId="19" r:id="rId19"/>
    <sheet name="Nháp" sheetId="20" r:id="rId20"/>
    <sheet name="Cước ô tô" sheetId="21" r:id="rId21"/>
    <sheet name="Cước ô tô kết hợp" sheetId="22" r:id="rId22"/>
    <sheet name="Cước bộ" sheetId="23" r:id="rId23"/>
    <sheet name="Cước sông" sheetId="24" r:id="rId24"/>
    <sheet name="Lương nhân công" sheetId="25" r:id="rId25"/>
    <sheet name="Tính giá ca máy" sheetId="26" r:id="rId26"/>
    <sheet name="Bù giá ca máy" sheetId="27" r:id="rId27"/>
    <sheet name="Tổng hợp nhiên liệu" sheetId="28" r:id="rId28"/>
    <sheet name="Thanh toán KL hoàn thành" sheetId="29" r:id="rId29"/>
    <sheet name="Thanh toán KL phát sinh" sheetId="30" r:id="rId30"/>
    <sheet name="Tổng hợp VL,NC,M" sheetId="31" r:id="rId31"/>
    <sheet name="Đơn giá chi tiết rút gọn" sheetId="32" r:id="rId32"/>
    <sheet name="Đơn giá tổng hợp" sheetId="33" r:id="rId33"/>
    <sheet name="Tổng hợp phụ lục vữa" sheetId="34" r:id="rId34"/>
    <sheet name="Vật liệu vận chuyển lên cao" sheetId="35" r:id="rId35"/>
    <sheet name="Hệ số" sheetId="36" r:id="rId36"/>
  </sheets>
  <externalReferences>
    <externalReference r:id="rId39"/>
    <externalReference r:id="rId40"/>
    <externalReference r:id="rId41"/>
    <externalReference r:id="rId42"/>
    <externalReference r:id="rId43"/>
  </externalReferences>
  <definedNames>
    <definedName name="_xlnm.Print_Area" localSheetId="3">'Công trình'!$A$1:$W$14</definedName>
    <definedName name="_xlnm.Print_Area" localSheetId="5">'Máy thi công'!$A$1:$Q$11</definedName>
    <definedName name="_xlnm.Print_Area" localSheetId="4">'Nhân công'!$A$1:$Q$11</definedName>
    <definedName name="_xlnm.Print_Area" localSheetId="1">'PHU LỤC '!$A$1:$K$38</definedName>
    <definedName name="_xlnm.Print_Area" localSheetId="2">'TH dự toán hạng mục'!$A$1:$E$30</definedName>
    <definedName name="_xlnm.Print_Area" localSheetId="0">'Thuyết minh'!$A$1:$O$41</definedName>
    <definedName name="_xlnm.Print_Titles" localSheetId="26">'Bù giá ca máy'!$10:$11</definedName>
    <definedName name="_xlnm.Print_Titles" localSheetId="15">'Chi phí thiết bị'!$4:$5</definedName>
    <definedName name="_xlnm.Print_Titles" localSheetId="3">'Công trình'!$5:$6</definedName>
    <definedName name="_xlnm.Print_Titles" localSheetId="23">'Cước sông'!$5:$6</definedName>
    <definedName name="_xlnm.Print_Titles" localSheetId="9">'Đơn giá chi tiết'!$5:$5</definedName>
    <definedName name="_xlnm.Print_Titles" localSheetId="31">'Đơn giá chi tiết rút gọn'!$5:$5</definedName>
    <definedName name="_xlnm.Print_Titles" localSheetId="32">'Đơn giá tổng hợp'!$5:$6</definedName>
    <definedName name="_xlnm.Print_Titles" localSheetId="10">'Dự thầu'!$5:$5</definedName>
    <definedName name="_xlnm.Print_Titles" localSheetId="14">'Dự toán gói thầu thiết bị'!$4:$4</definedName>
    <definedName name="_xlnm.Print_Titles" localSheetId="13">'Dự toán gói thầu xây dựng'!$4:$4</definedName>
    <definedName name="_xlnm.Print_Titles" localSheetId="16">'Hạng mục chung'!$5:$5</definedName>
    <definedName name="_xlnm.Print_Titles" localSheetId="6">'Hao phí vật tư'!$5:$6</definedName>
    <definedName name="_xlnm.Print_Titles" localSheetId="24">'Lương nhân công'!$6:$7</definedName>
    <definedName name="_xlnm.Print_Titles" localSheetId="5">'Máy thi công'!$5:$5</definedName>
    <definedName name="_xlnm.Print_Titles" localSheetId="4">'Nhân công'!$5:$5</definedName>
    <definedName name="_xlnm.Print_Titles" localSheetId="1">'PHU LỤC '!$11:$11</definedName>
    <definedName name="_xlnm.Print_Titles" localSheetId="8">'TH dự toán công trình'!$4:$4</definedName>
    <definedName name="_xlnm.Print_Titles" localSheetId="2">'TH dự toán hạng mục'!$5:$5</definedName>
    <definedName name="_xlnm.Print_Titles" localSheetId="11">'TH giá dự thầu'!$4:$4</definedName>
    <definedName name="_xlnm.Print_Titles" localSheetId="28">'Thanh toán KL hoàn thành'!$15:$17</definedName>
    <definedName name="_xlnm.Print_Titles" localSheetId="29">'Thanh toán KL phát sinh'!$14:$16</definedName>
    <definedName name="_xlnm.Print_Titles" localSheetId="25">'Tính giá ca máy'!$9:$10</definedName>
    <definedName name="_xlnm.Print_Titles" localSheetId="27">'Tổng hợp nhiên liệu'!$5:$5</definedName>
    <definedName name="_xlnm.Print_Titles" localSheetId="33">'Tổng hợp phụ lục vữa'!$5:$5</definedName>
    <definedName name="_xlnm.Print_Titles" localSheetId="30">'Tổng hợp VL,NC,M'!$4:$4</definedName>
    <definedName name="_xlnm.Print_Titles" localSheetId="7">'Vật liệu'!$6:$7</definedName>
    <definedName name="_xlnm.Print_Titles" localSheetId="34">'Vật liệu vận chuyển lên cao'!$5:$5</definedName>
  </definedNames>
  <calcPr fullCalcOnLoad="1"/>
</workbook>
</file>

<file path=xl/comments13.xml><?xml version="1.0" encoding="utf-8"?>
<comments xmlns="http://schemas.openxmlformats.org/spreadsheetml/2006/main">
  <authors>
    <author/>
  </authors>
  <commentList>
    <comment ref="B5" authorId="0">
      <text>
        <r>
          <rPr>
            <b/>
            <sz val="8"/>
            <rFont val="Tahoma"/>
            <family val="0"/>
          </rPr>
          <t>Tối thiểu 3 năm liền trước năm lập dự toán</t>
        </r>
      </text>
    </comment>
    <comment ref="C11" authorId="0">
      <text>
        <r>
          <rPr>
            <b/>
            <sz val="8"/>
            <rFont val="Tahoma"/>
            <family val="0"/>
          </rPr>
          <t>Tham khảo bộ chỉ số giá xây dựng của Sở Xây dựng (chỉ số mặc định chỉ có giá trị tham khảo)</t>
        </r>
      </text>
    </comment>
  </commentList>
</comments>
</file>

<file path=xl/comments2.xml><?xml version="1.0" encoding="utf-8"?>
<comments xmlns="http://schemas.openxmlformats.org/spreadsheetml/2006/main">
  <authors>
    <author/>
  </authors>
  <commentList>
    <comment ref="B8" authorId="0">
      <text>
        <r>
          <rPr>
            <b/>
            <sz val="8"/>
            <rFont val="Tahoma"/>
            <family val="0"/>
          </rPr>
          <t>Sử dụng cho Thông tư 210/2016/TT-BTC và Thông tư 75/2014/TT-BTC</t>
        </r>
      </text>
    </comment>
  </commentList>
</comments>
</file>

<file path=xl/sharedStrings.xml><?xml version="1.0" encoding="utf-8"?>
<sst xmlns="http://schemas.openxmlformats.org/spreadsheetml/2006/main" count="1081" uniqueCount="557">
  <si>
    <t>Nhân công đất</t>
  </si>
  <si>
    <t>Chi phí quản lý mua sắm thiết bị (nếu có)</t>
  </si>
  <si>
    <t xml:space="preserve">Vùng/Khu vực: </t>
  </si>
  <si>
    <t>(năm sau / năm trước)</t>
  </si>
  <si>
    <t>dòng 5 * (dòng 6 +/- mức biến động chỉ số giá XD)</t>
  </si>
  <si>
    <t>...</t>
  </si>
  <si>
    <t>- Chênh lệch giá nhân công</t>
  </si>
  <si>
    <t>TTQT10</t>
  </si>
  <si>
    <t>QLDA12</t>
  </si>
  <si>
    <t>BẢNG GIÁ TỔNG HỢP</t>
  </si>
  <si>
    <t>Nhóm TT05</t>
  </si>
  <si>
    <t>Gxd</t>
  </si>
  <si>
    <t>Hệ số loại sông</t>
  </si>
  <si>
    <t>Xăng RON 92:</t>
  </si>
  <si>
    <t>Chi phí bảo hiểm công trình</t>
  </si>
  <si>
    <t>Hệ số riêng vật liệu</t>
  </si>
  <si>
    <t>(năm trước * năm đầu tiên)</t>
  </si>
  <si>
    <t>GTGT</t>
  </si>
  <si>
    <t>III</t>
  </si>
  <si>
    <t>Tổng cộng</t>
  </si>
  <si>
    <t>Căn cứ xác minh:</t>
  </si>
  <si>
    <t>hsTL</t>
  </si>
  <si>
    <t>Máy đào một gầu, bánh xích -  dung tích gầu: 0,80 m3</t>
  </si>
  <si>
    <t>Chi phí lắp đặt và thí nghiệm, hiệu chỉnh</t>
  </si>
  <si>
    <t>Công trình giao thông</t>
  </si>
  <si>
    <t>Thiết kế 2 bước</t>
  </si>
  <si>
    <t>Khấu hao</t>
  </si>
  <si>
    <t>CỘNG HÒA XÃ HỘI CHỦ NGHĨA VIỆT NAM</t>
  </si>
  <si>
    <t>- Chênh lệch giá vật liệu</t>
  </si>
  <si>
    <t>đồng/kwh</t>
  </si>
  <si>
    <t>BẢNG TỔNG HỢP DỰ TOÁN CHI PHÍ HẠNG MỤC CHUNG</t>
  </si>
  <si>
    <t>Chi phí một số công tác không xác định được khối lượng từ thiết kế</t>
  </si>
  <si>
    <t>Chi phí đào tạo và chuyển giao công nghệ (nếu có)</t>
  </si>
  <si>
    <t>I. Căn cứ lập:</t>
  </si>
  <si>
    <t>Thực hiện kỳ này</t>
  </si>
  <si>
    <t>hsGdc</t>
  </si>
  <si>
    <t>Mã hiệu đơn giá</t>
  </si>
  <si>
    <t>Loại thiết kế:</t>
  </si>
  <si>
    <t>Đơn giá thanh toán</t>
  </si>
  <si>
    <t>Tổng chi phí thực hiện dự án (chưa bao gồm lãi vay)</t>
  </si>
  <si>
    <t>Theo hợp đồng</t>
  </si>
  <si>
    <t>HỒ SƠ DỰ TOÁN</t>
  </si>
  <si>
    <t>hsDBATGT</t>
  </si>
  <si>
    <t>hsGlbc</t>
  </si>
  <si>
    <t>Đơn giá bốc xếp</t>
  </si>
  <si>
    <t>CLNC</t>
  </si>
  <si>
    <t xml:space="preserve">  - Hệ số điều chỉnh máy thi công</t>
  </si>
  <si>
    <t>BẢNG TỔNG HỢP DỰ TOÁN CÔNG TRÌNH</t>
  </si>
  <si>
    <t>HẠNG MỤC</t>
  </si>
  <si>
    <t>Chi phí thực hiện dự án theo tiến độ đã có trượt giá</t>
  </si>
  <si>
    <t>BẢNG TỔNG HỢP DỰ TOÁN GÓI THẦU THI CÔNG XÂY DỰNG</t>
  </si>
  <si>
    <t>Nhóm gốc</t>
  </si>
  <si>
    <t>Cộng vật liệu:</t>
  </si>
  <si>
    <t>Loại sông</t>
  </si>
  <si>
    <t>4</t>
  </si>
  <si>
    <t>Công ty cổ phần F1 Tech</t>
  </si>
  <si>
    <t>CỘNG HOÀ XÃ HỘI CHỦ NGHĨA VIỆT NAM</t>
  </si>
  <si>
    <t>HẠNG MỤC: Hạng mục 1</t>
  </si>
  <si>
    <t>Loại vật liệu</t>
  </si>
  <si>
    <t>Nhân công</t>
  </si>
  <si>
    <t>Vật liệu phụ</t>
  </si>
  <si>
    <t>Chi phí dự phòng</t>
  </si>
  <si>
    <t>BẢNG XÁC ĐỊNH GIÁ TRỊ KHỐI LƯỢNG CÔNG VIỆC PHÁT SINH NGOÀI HỢP ĐỒNG ĐỀ NGHỊ THANH TOÁN</t>
  </si>
  <si>
    <t>3. Số tiền đã thanh toán khối lượng hoàn thành đến cuối kỳ trước:</t>
  </si>
  <si>
    <t>TDDA</t>
  </si>
  <si>
    <t>Hệ số thu hồi khi thanh lý</t>
  </si>
  <si>
    <t>Hệ số lương</t>
  </si>
  <si>
    <t>công</t>
  </si>
  <si>
    <t>Đơn giá nhân công</t>
  </si>
  <si>
    <t>Tên công việc</t>
  </si>
  <si>
    <t>Khối lượng hao phí</t>
  </si>
  <si>
    <t>Nhóm 1</t>
  </si>
  <si>
    <t>CƠ QUAN LẬP</t>
  </si>
  <si>
    <t>Khối lượng</t>
  </si>
  <si>
    <t>Đơn vị: đồng</t>
  </si>
  <si>
    <t>Rộng</t>
  </si>
  <si>
    <t>Nội dung chi phí</t>
  </si>
  <si>
    <t>hsHSMT</t>
  </si>
  <si>
    <t>Chưa có vật liệu vận chuyển lên cao! Ở bảng Công trình, thêm dấu ^ vào cuối mã công tác cần tổng hợp để vận chuyển lên cao. Ví dụ AF.11111^</t>
  </si>
  <si>
    <t>Lập báo cáo kết quả khảo sát xây dựng</t>
  </si>
  <si>
    <t>THUYẾT MINH LẬP DỰ TOÁN</t>
  </si>
  <si>
    <t>Chỉ số trượt giá liên hoàn</t>
  </si>
  <si>
    <t>Tên nhiên liệu</t>
  </si>
  <si>
    <t>Tổng mức đầu tư sau loại trừ chi phí dự phòng x tỷ lệ</t>
  </si>
  <si>
    <t>THUẾ GTGT</t>
  </si>
  <si>
    <t>GSTC12</t>
  </si>
  <si>
    <t>NỘI DUNG CHI PHÍ</t>
  </si>
  <si>
    <t>hsBNC</t>
  </si>
  <si>
    <t>(dòng 7 - dòng 5)</t>
  </si>
  <si>
    <t>1.2</t>
  </si>
  <si>
    <t>Số lượng</t>
  </si>
  <si>
    <t>BẢNG TỔNG HỢP PHỤ LỤC VỮA</t>
  </si>
  <si>
    <t>Cước bộ</t>
  </si>
  <si>
    <t>Cao</t>
  </si>
  <si>
    <t>Diễn giải tính toán</t>
  </si>
  <si>
    <t>hsGlpa</t>
  </si>
  <si>
    <t>THEO HỢP ĐỒNG BAN ĐẦU [  ]</t>
  </si>
  <si>
    <t>Hệ số nhiên liệu phụ</t>
  </si>
  <si>
    <t>cộng dồn dòng 8</t>
  </si>
  <si>
    <t>Đào nền đường bằng máy đào 0,8m3 - Cấp đất III</t>
  </si>
  <si>
    <t>1x4/7</t>
  </si>
  <si>
    <t>CÁCH TÍNH</t>
  </si>
  <si>
    <t>Giá trị dự toán:</t>
  </si>
  <si>
    <t>7. Luỹ kế giá trị thanh toán:</t>
  </si>
  <si>
    <t>Cấp công trình:</t>
  </si>
  <si>
    <t>Khối lượng theo hợp đồng ban đầu</t>
  </si>
  <si>
    <t>NCG</t>
  </si>
  <si>
    <t>Giá gốc</t>
  </si>
  <si>
    <t>Danh mục công tác</t>
  </si>
  <si>
    <t>Chi phí một số công việc không xác định được khối lượng từ thiết kế (T x 2%)</t>
  </si>
  <si>
    <t>Hạng mục 1</t>
  </si>
  <si>
    <t>Đơn giá</t>
  </si>
  <si>
    <t>.... , ngày .… tháng …. năm …...</t>
  </si>
  <si>
    <t>9</t>
  </si>
  <si>
    <t>Chi phí mua bản quyền phần mềm sử dụng cho thiết bị công trình, thiết bị công nghệ của dự án (nếu có)</t>
  </si>
  <si>
    <t>Xây dựng tòa nhà F1 Tech</t>
  </si>
  <si>
    <t>(Ký, họ tên)</t>
  </si>
  <si>
    <t>Chi phí nhà tạm để ở và điều hành thi công</t>
  </si>
  <si>
    <t>Lương bình quân</t>
  </si>
  <si>
    <t>hsVLP</t>
  </si>
  <si>
    <t>đồng/lít</t>
  </si>
  <si>
    <t>Cộng nhân công đất:</t>
  </si>
  <si>
    <t>Nhiên liệu phụ</t>
  </si>
  <si>
    <t>TDDA209</t>
  </si>
  <si>
    <t>lít</t>
  </si>
  <si>
    <t>Vật liệu</t>
  </si>
  <si>
    <t>Gqlda</t>
  </si>
  <si>
    <t>Nguyên giá (tham khảo)</t>
  </si>
  <si>
    <t>Bảng chi phí</t>
  </si>
  <si>
    <t>Cước ôtô / bù giá</t>
  </si>
  <si>
    <t>BẢNG TỔNG HỢP GIÁ DỰ THẦU</t>
  </si>
  <si>
    <t>3</t>
  </si>
  <si>
    <t>Theo bảng tổng hợp nhân công và chênh lệch giá</t>
  </si>
  <si>
    <t>LT</t>
  </si>
  <si>
    <t>BẢNG TỔNG HỢP VẬT LIỆU VÀ CHÊNH LỆCH GIÁ</t>
  </si>
  <si>
    <t>MG</t>
  </si>
  <si>
    <t>KHOẢN MỤC CHI PHÍ</t>
  </si>
  <si>
    <t>Chi phí khảo sát địa hình</t>
  </si>
  <si>
    <t>Bậc hàng</t>
  </si>
  <si>
    <t>Cự ly (Km)</t>
  </si>
  <si>
    <t>Chi phí dự phòng cho yếu tố trượt giá</t>
  </si>
  <si>
    <t>AB.31123</t>
  </si>
  <si>
    <t>Chứng chỉ KS định giá XD hạng ..., số ...</t>
  </si>
  <si>
    <t>Độc lập- Tự do- Hạnh phúc</t>
  </si>
  <si>
    <t>TỶ LỆ</t>
  </si>
  <si>
    <t>Mức hao phí</t>
  </si>
  <si>
    <t>Chi phí thẩm tra, phê duyệt quyết toán vốn đầu tư</t>
  </si>
  <si>
    <t>Chi phí khác</t>
  </si>
  <si>
    <t>THUẾ GIÁ TRỊ GIA TĂNG (G x 10%)</t>
  </si>
  <si>
    <t>đến</t>
  </si>
  <si>
    <t>BẢNG TỔNG HỢP MÁY THI CÔNG VÀ CHÊNH LỆCH GIÁ</t>
  </si>
  <si>
    <t>Tổng khối lượng phát sinh</t>
  </si>
  <si>
    <t>Dầu Diezel 0,05S:</t>
  </si>
  <si>
    <t>M101.0502</t>
  </si>
  <si>
    <t>Theo bảng tính toán, đo bóc khối lượng công trình</t>
  </si>
  <si>
    <t>BẢNG CƯỚC VẬN CHUYỂN HÀNG HOÁ ĐƯỜNG SÔNG</t>
  </si>
  <si>
    <t>Bộ Xây dựng hoặc Sở Xây dựng ban hành</t>
  </si>
  <si>
    <t>hsBHCT</t>
  </si>
  <si>
    <t>Tổng cước sông</t>
  </si>
  <si>
    <t>Thành tiền sau thuế</t>
  </si>
  <si>
    <t>Chi phí tư vấn đầu tư xây dựng</t>
  </si>
  <si>
    <t>BẢNG TỔNG HỢP DỰ TOÁN HẠNG MỤC</t>
  </si>
  <si>
    <t>Chi phí nhân công</t>
  </si>
  <si>
    <t>Bù 1 ca</t>
  </si>
  <si>
    <t>GIÁ TRỊ SAU THUẾ</t>
  </si>
  <si>
    <t>Tên máy thi công</t>
  </si>
  <si>
    <t>Ghi chú</t>
  </si>
  <si>
    <t>HAO PHÍ VẬT LIỆU, NHÂN CÔNG, MÁY THI CÔNG CHO CÁC CÔNG TÁC XÂY DỰNG</t>
  </si>
  <si>
    <t>CHI PHÍ DỰ PHÒNG</t>
  </si>
  <si>
    <t>hsTKBVTC</t>
  </si>
  <si>
    <t>Chỉ số trượt giá từng năm tiếp theo</t>
  </si>
  <si>
    <t>Nhân công bậc 3,0/7 - Nhóm 1</t>
  </si>
  <si>
    <t>VL</t>
  </si>
  <si>
    <t>Khối lượng phát sinh theo hợp đồng ban đầu</t>
  </si>
  <si>
    <t>hsQLDA</t>
  </si>
  <si>
    <t>CÔNG TY CỔ PHẦN F1 TECH</t>
  </si>
  <si>
    <t>Năm 2021</t>
  </si>
  <si>
    <t>Cnt</t>
  </si>
  <si>
    <t>N83413</t>
  </si>
  <si>
    <t>Mã hiệu VL, NC, M</t>
  </si>
  <si>
    <t>Theo bảng tổng hợp máy thi công và chênh lệch giá</t>
  </si>
  <si>
    <t>hsTTDT</t>
  </si>
  <si>
    <t>% hao hụt vận chuyển</t>
  </si>
  <si>
    <t>Đào rãnh bằng máy thi công - Cấp đất III (95%KL)</t>
  </si>
  <si>
    <t>Chi phí trực tiếp</t>
  </si>
  <si>
    <t>1.1</t>
  </si>
  <si>
    <t>Thu nhập chịu thuế tính trước</t>
  </si>
  <si>
    <t>Dầu Mazut 3S (0,87kg/lít):</t>
  </si>
  <si>
    <t>Tên vật liệu</t>
  </si>
  <si>
    <t>BẢNG TÍNH CHI PHÍ DỰ PHÒNG TRƯỢT GIÁ</t>
  </si>
  <si>
    <t>ĐẠI DIỆN NHÀ THẦU</t>
  </si>
  <si>
    <t>Ckkl</t>
  </si>
  <si>
    <t>Máy thi công</t>
  </si>
  <si>
    <t>8</t>
  </si>
  <si>
    <t>Chi phí thực hiện dự án theo tiến độ chưa có trượt giá</t>
  </si>
  <si>
    <t>Thanh toán lần thứ:</t>
  </si>
  <si>
    <t>hsTTQT</t>
  </si>
  <si>
    <t>m3</t>
  </si>
  <si>
    <t>10.2</t>
  </si>
  <si>
    <t>Tổng số</t>
  </si>
  <si>
    <t>hsGhmc</t>
  </si>
  <si>
    <t>Chi phí chung theo chi phí nhân công</t>
  </si>
  <si>
    <t>GT</t>
  </si>
  <si>
    <t>Đơn giá loại sông 1</t>
  </si>
  <si>
    <t>Thành tiền trước thuế</t>
  </si>
  <si>
    <t>Biên bản nghiệm thu số: .......... ngày .... tháng .... năm .....</t>
  </si>
  <si>
    <t xml:space="preserve">II. Giá trị dự toán: </t>
  </si>
  <si>
    <t>KSDH</t>
  </si>
  <si>
    <t>Định mức nhiên liệu/nhân công</t>
  </si>
  <si>
    <t>- Chênh lệch giá máy thi công</t>
  </si>
  <si>
    <t>N0006</t>
  </si>
  <si>
    <t>Nhân công bậc 4,0/7 - Nhóm 8</t>
  </si>
  <si>
    <t>Chi phí nhà tạm để ở và điều hành thi công (T x 2,3%)</t>
  </si>
  <si>
    <t>Giá thông báo</t>
  </si>
  <si>
    <t>Gk</t>
  </si>
  <si>
    <t>TT</t>
  </si>
  <si>
    <t>AB.11513</t>
  </si>
  <si>
    <t>Sửa chữa</t>
  </si>
  <si>
    <t>Cộng vật liệu phụ:</t>
  </si>
  <si>
    <t>CHI PHÍ TRỰC TIẾP</t>
  </si>
  <si>
    <t>Loại công trình:</t>
  </si>
  <si>
    <t>2</t>
  </si>
  <si>
    <t>Dài</t>
  </si>
  <si>
    <t>Chi phí chung theo chi phí trực tiếp</t>
  </si>
  <si>
    <t>Thi công</t>
  </si>
  <si>
    <t>HẠNG MỤC CHUNG</t>
  </si>
  <si>
    <t>- Đơn giá nhân công gốc</t>
  </si>
  <si>
    <t>Hợp đồng số: .......... ngày .... tháng .... năm .....                 Phụ lục bổ sung hợp đồng số: .......... ngày .... tháng .... năm .....</t>
  </si>
  <si>
    <t>CÔNG TRÌNH:</t>
  </si>
  <si>
    <t>(Căn cứ theo Thông tư 15/2019/TT-BXD ngày 26/12/2019 của Bộ Xây dựng)</t>
  </si>
  <si>
    <t>Tổng mức đầu tư x tỷ lệ</t>
  </si>
  <si>
    <t>Tên công tác</t>
  </si>
  <si>
    <t xml:space="preserve">5. Chiết khấu tiền tạm ứng: </t>
  </si>
  <si>
    <t>hsRVL</t>
  </si>
  <si>
    <t>ĐỊA ĐIỂM:</t>
  </si>
  <si>
    <t>Tổng phát sinh</t>
  </si>
  <si>
    <t>% hao hụt bảo quản</t>
  </si>
  <si>
    <t>hsCNC</t>
  </si>
  <si>
    <t>Độc lập - Tự do - Hạnh phúc</t>
  </si>
  <si>
    <t xml:space="preserve">  - Diezel</t>
  </si>
  <si>
    <t>NGOÀI HỢP ĐỒNG BAN ĐẦU [  ]</t>
  </si>
  <si>
    <t>I</t>
  </si>
  <si>
    <t>Chênh lệch giá thông báo</t>
  </si>
  <si>
    <t>Đơn giá trước thuế</t>
  </si>
  <si>
    <t>2.2</t>
  </si>
  <si>
    <t>Theo bảng tổng hợp dự toán hạng mục</t>
  </si>
  <si>
    <t>Chi phí gián tiếp</t>
  </si>
  <si>
    <t>Hệ số</t>
  </si>
  <si>
    <t>Chi phí vật liệu</t>
  </si>
  <si>
    <t>GIÁ TRỊ TRƯỚC THUẾ</t>
  </si>
  <si>
    <t>Số: ......./.......</t>
  </si>
  <si>
    <t>Chi phí thẩm tra dự toán</t>
  </si>
  <si>
    <t>CHỦ ĐẦU TƯ:</t>
  </si>
  <si>
    <t xml:space="preserve"> Số tiền bằng chữ:</t>
  </si>
  <si>
    <t>Chi phí vận chuyển</t>
  </si>
  <si>
    <t>Chi phí chung</t>
  </si>
  <si>
    <t>C</t>
  </si>
  <si>
    <t>Tổng cước ôtô</t>
  </si>
  <si>
    <t>Số bộ phận giống nhau</t>
  </si>
  <si>
    <t>hsC</t>
  </si>
  <si>
    <t>4. Luỹ kế giá trị khối lượng thực hiện đến cuối kỳ này:</t>
  </si>
  <si>
    <t>Hệ số chi phí hạng mục chung</t>
  </si>
  <si>
    <t>6. Giá trị đề nghị thanh toán kỳ này:</t>
  </si>
  <si>
    <t>Cộng Máy:</t>
  </si>
  <si>
    <t>ĐẠI DIỆN TƯ VẤN GIÁM SÁT (NẾU CÓ)</t>
  </si>
  <si>
    <t>VLG</t>
  </si>
  <si>
    <t>BẢNG ĐƠN GIÁ CHI TIẾT RÚT GỌN</t>
  </si>
  <si>
    <t>(Căn cứ theo NĐ 11/2020/NĐ-CP ngày 20/01/2020 của Chính phủ - Mẫu số 08b)</t>
  </si>
  <si>
    <t>hsBCKTKT</t>
  </si>
  <si>
    <t>Trượt giá lũy tích</t>
  </si>
  <si>
    <t>WWW.DUTOANF1.COM</t>
  </si>
  <si>
    <t>Chi phí mua sắm thiết bị công trình và thiết bị công nghệ</t>
  </si>
  <si>
    <t>Chi phí gián tiếp (C + LT + TT)</t>
  </si>
  <si>
    <t>Tên dự án:                                                                                               Mã dự án:</t>
  </si>
  <si>
    <t>Đơn giá bổ sung</t>
  </si>
  <si>
    <t>Chi phí xây dựng</t>
  </si>
  <si>
    <t>Nguồn mua</t>
  </si>
  <si>
    <t>CHI PHÍ GIÁN TIẾP</t>
  </si>
  <si>
    <t>BẢNG TỔNG HỢP DỰ TOÁN GÓI THẦU MUA SẮM VẬT TƯ, THIẾT BỊ LẮP ĐẶT VÀO CÔNG TRÌNH</t>
  </si>
  <si>
    <t>STT</t>
  </si>
  <si>
    <t>Đơn vị tính: đồng</t>
  </si>
  <si>
    <t>Chi phí kiểm toán</t>
  </si>
  <si>
    <t>100m3</t>
  </si>
  <si>
    <t>Loại máy và thiết bị</t>
  </si>
  <si>
    <t>(Căn cứ theo TT 11/2019/TT-BXD ngày 26/12/2019 và TT 02/2020/TT-BXD ngày 20/07/2020 của Bộ Xây dựng)</t>
  </si>
  <si>
    <t>Mã hiệu</t>
  </si>
  <si>
    <t>Thành phần - cấp bậc thợ điều khiển máy</t>
  </si>
  <si>
    <t>QLDA</t>
  </si>
  <si>
    <t>hsGxdnt</t>
  </si>
  <si>
    <t>Gdp</t>
  </si>
  <si>
    <t>Chi phí lập báo cáo kinh tế-kỹ thuật</t>
  </si>
  <si>
    <t>Chi phí thẩm tra, phê duyệt quyết toán (Thông tư 10/2020/TT-BTC)</t>
  </si>
  <si>
    <t>hsGSTC</t>
  </si>
  <si>
    <t>BẢNG TỔNG HỢP VẬT LIỆU, NHÂN CÔNG, MÁY THI CÔNG</t>
  </si>
  <si>
    <t>TTQT</t>
  </si>
  <si>
    <t>Thành tiền giá gốc</t>
  </si>
  <si>
    <t>Hệ số vật liệu phụ</t>
  </si>
  <si>
    <t>Đơn giá bổ sung (nếu có)</t>
  </si>
  <si>
    <t xml:space="preserve"> </t>
  </si>
  <si>
    <t>GIÁM ĐỐC</t>
  </si>
  <si>
    <t>LBC</t>
  </si>
  <si>
    <t>Mã máy</t>
  </si>
  <si>
    <t>Chi phí giám sát thi công xây dựng</t>
  </si>
  <si>
    <t>BẢNG BÙ GIÁ NHIÊN LIỆU VÀ LƯƠNG THỢ ĐIỀU KHIỂN MÁY</t>
  </si>
  <si>
    <t>Khu đô thị Xala, Hà Đông, Hà Nội</t>
  </si>
  <si>
    <t>Tổng chênh</t>
  </si>
  <si>
    <t>T</t>
  </si>
  <si>
    <t>7</t>
  </si>
  <si>
    <t>TH_2021_QD_366_XD</t>
  </si>
  <si>
    <t>10.1</t>
  </si>
  <si>
    <t>Chi phí xây dựng nhà tạm tại hiện trường để ở và điều hành thi công</t>
  </si>
  <si>
    <t>BẢNG TÍNH LƯƠNG NHÂN CÔNG</t>
  </si>
  <si>
    <t>Máy ủi - công suất: 110 CV</t>
  </si>
  <si>
    <t>Thành tiền</t>
  </si>
  <si>
    <t>Theo hợp đồng ban đầu</t>
  </si>
  <si>
    <t>Chênh lệch</t>
  </si>
  <si>
    <t>Hệ số công tác</t>
  </si>
  <si>
    <t>Khối lượng một bộ phận</t>
  </si>
  <si>
    <t>TT 10/2019 và 02/2020/TT-BXD</t>
  </si>
  <si>
    <t>Bù giá</t>
  </si>
  <si>
    <t>(Ký, ghi rõ họ tên chức vụ và đóng dấu)</t>
  </si>
  <si>
    <t>Tên vật tư</t>
  </si>
  <si>
    <t>Phát sinh so với hợp đồng ban đầu</t>
  </si>
  <si>
    <t>Năm cơ sở tính toán</t>
  </si>
  <si>
    <t>BẢNG TỔNG HỢP CHI PHÍ THIẾT BỊ</t>
  </si>
  <si>
    <t>IV</t>
  </si>
  <si>
    <t>Tự thẩm định toàn bộ</t>
  </si>
  <si>
    <t>BẢNG ĐƠN GIÁ CHI TIẾT</t>
  </si>
  <si>
    <t>Khối lượng phát sinh ngoài hợp đồng</t>
  </si>
  <si>
    <t>Chi phí quản lý dự án</t>
  </si>
  <si>
    <t xml:space="preserve">  - Nhân công bậc 3,0/7 - Nhóm 1</t>
  </si>
  <si>
    <t>Chmc</t>
  </si>
  <si>
    <t>Mã nhân công</t>
  </si>
  <si>
    <t>(Căn cứ theo bảng 2.3 TT 06/2016/TT-BXD ngày 10 tháng 3 năm 2016)</t>
  </si>
  <si>
    <t>Chi phí chuyển máy, thiết bị khảo sát</t>
  </si>
  <si>
    <t>Tên gói thầu:</t>
  </si>
  <si>
    <t>1</t>
  </si>
  <si>
    <t>Tỷ lệ %</t>
  </si>
  <si>
    <t>Mã chi phí</t>
  </si>
  <si>
    <t>hsGiamThau</t>
  </si>
  <si>
    <t>Theo bảng giá dự thầu</t>
  </si>
  <si>
    <t>Lương thợ điều khiển máy</t>
  </si>
  <si>
    <t>hsGbhtn</t>
  </si>
  <si>
    <t>Chi phí lập hồ sơ mời thầu, hồ sơ đánh giá hồ sơ dự thầu</t>
  </si>
  <si>
    <t>Chi phí chung (T x 6,2%)</t>
  </si>
  <si>
    <t>hsTT</t>
  </si>
  <si>
    <t>Số ca/ năm</t>
  </si>
  <si>
    <t>- Đơn giá vật liệu gốc</t>
  </si>
  <si>
    <t>Tổng chênh giá thông báo</t>
  </si>
  <si>
    <t>Dự toán gói thầu XD trước thuế x tỷ lệ</t>
  </si>
  <si>
    <t>2.1</t>
  </si>
  <si>
    <t>Hệ số lán trại, nhà tạm</t>
  </si>
  <si>
    <t>Giá thông báo sau thuế</t>
  </si>
  <si>
    <t>Thực hiện</t>
  </si>
  <si>
    <t>Cước ôtô</t>
  </si>
  <si>
    <t>CLVL</t>
  </si>
  <si>
    <t>Hệ số giá TB</t>
  </si>
  <si>
    <t>10</t>
  </si>
  <si>
    <t>Hệ số trực tiếp phí khác</t>
  </si>
  <si>
    <t>ĐẠI DIỆN CHỦ ĐẦU TƯ</t>
  </si>
  <si>
    <t>Theo bảng tổng hợp vật liệu và chênh lệch giá</t>
  </si>
  <si>
    <t>BẢNG GIÁ DỰ THẦU</t>
  </si>
  <si>
    <t>Đơn vị tính</t>
  </si>
  <si>
    <t>Ngày….. tháng….. năm 20…</t>
  </si>
  <si>
    <t>(4852,63+3184,63)/100 = 80,3726</t>
  </si>
  <si>
    <t>Chi phí chạy thử thiết bị theo yêu cầu kỹ thuật</t>
  </si>
  <si>
    <t>GSTC</t>
  </si>
  <si>
    <t>Nhà thầu:</t>
  </si>
  <si>
    <t>Mức biến động chỉ số giá XD</t>
  </si>
  <si>
    <t>ĐẠI DIỆN CHỦ ĐẦU TƯ/BAN QUẢN LÝ DỰ ÁN CHUYÊN NGÀNH/BAN QUẢN LÝ DỰ ÁN KHU VỰC</t>
  </si>
  <si>
    <t xml:space="preserve">  - Nhân công bậc 4,0/7 - Nhóm 8</t>
  </si>
  <si>
    <t>Nhóm TT01</t>
  </si>
  <si>
    <t>%</t>
  </si>
  <si>
    <t>Phân bổ chi phí theo %</t>
  </si>
  <si>
    <t>Chi phí xây dựng sau thuế (G + GTGT)</t>
  </si>
  <si>
    <t xml:space="preserve"> lít diezel</t>
  </si>
  <si>
    <t>Định mức</t>
  </si>
  <si>
    <t>HS điều chỉnh</t>
  </si>
  <si>
    <t>2. Giá trị tạm ứng theo hợp đồng còn lại chưa thu hồi đến cuối kỳ trước:</t>
  </si>
  <si>
    <t>NGUYỄN VĂN B</t>
  </si>
  <si>
    <t>ca</t>
  </si>
  <si>
    <t>Loại thiết bị 1</t>
  </si>
  <si>
    <t>-------------------------</t>
  </si>
  <si>
    <t>(Căn cứ theo TT 08/2016/TT-BTC ngày 18/01/2016 của Bộ Tài chính - Phụ lục 04)</t>
  </si>
  <si>
    <t>Giá hiện tại</t>
  </si>
  <si>
    <t>(Căn cứ theo Quyết định số .... ngày ... tháng ... năm ..... của .......)</t>
  </si>
  <si>
    <t>Làm tròn</t>
  </si>
  <si>
    <t>Chi phí máy thi công</t>
  </si>
  <si>
    <t>BẢNG TỔNG HỢP VẬT LIỆU VẬN CHUYỂN LÊN CAO</t>
  </si>
  <si>
    <t>TT Vật tư</t>
  </si>
  <si>
    <t>- Hệ số điều chỉnh nhân công</t>
  </si>
  <si>
    <t>NC</t>
  </si>
  <si>
    <t>[ghi tên, chức danh, ký tên và đóng dấu]</t>
  </si>
  <si>
    <t>Chi phí hao hụt</t>
  </si>
  <si>
    <t>Thuế VAT</t>
  </si>
  <si>
    <t>BẢNG CHI TIẾT KHỐI LƯỢNG CÔNG TÁC XÂY DỰNG</t>
  </si>
  <si>
    <t>BM</t>
  </si>
  <si>
    <t>6</t>
  </si>
  <si>
    <t>Lũy kế đến hết kỳ trước</t>
  </si>
  <si>
    <t>Hệ số cấu kiện</t>
  </si>
  <si>
    <t>Hệ số vật tư</t>
  </si>
  <si>
    <t xml:space="preserve">  - Hệ số điều chỉnh nhân công</t>
  </si>
  <si>
    <t>Hợp đồng số: .......... ngày .... tháng .... năm .....                   Phụ lục bổ sung hợp đồng số: .......... ngày .... tháng .... năm .....</t>
  </si>
  <si>
    <t>Chi phí bảo hiểm trách nhiệm nghề nghiệp</t>
  </si>
  <si>
    <t>đồng</t>
  </si>
  <si>
    <t>Tổng cộng (Gxd)</t>
  </si>
  <si>
    <t>M</t>
  </si>
  <si>
    <t>Gxdct</t>
  </si>
  <si>
    <t>Trượt giá từng năm</t>
  </si>
  <si>
    <t>Lũy kế đến hết kỳ này</t>
  </si>
  <si>
    <t>GIÁ TRỊ</t>
  </si>
  <si>
    <t>CPXD</t>
  </si>
  <si>
    <t>TỔNG HẠNG MỤC</t>
  </si>
  <si>
    <t>THM</t>
  </si>
  <si>
    <t/>
  </si>
  <si>
    <t>CHI PHÍ XÂY DỰNG CỦA GÓI THẦU</t>
  </si>
  <si>
    <t>HS điều chỉnh máy thi công</t>
  </si>
  <si>
    <t>BẢNG TÍNH GIÁ CA MÁY</t>
  </si>
  <si>
    <t>NGƯỜI CHỦ TRÌ</t>
  </si>
  <si>
    <t>Cấp IV</t>
  </si>
  <si>
    <t>Nhóm TT15</t>
  </si>
  <si>
    <t>M101.0104</t>
  </si>
  <si>
    <t>Tổng hợp chi phí</t>
  </si>
  <si>
    <t>BẢNG TỔNG HỢP NHÂN CÔNG VÀ CHÊNH LỆCH GIÁ</t>
  </si>
  <si>
    <t>Tiến độ thực hiện dự án</t>
  </si>
  <si>
    <t>HS điều chỉnh nhân công</t>
  </si>
  <si>
    <t>Vùng/Khu vực:</t>
  </si>
  <si>
    <t>BẢNG TỔNG HỢP NHIÊN LIỆU</t>
  </si>
  <si>
    <t>(Theo giá thông báo quý .. năm 20..)</t>
  </si>
  <si>
    <t>G</t>
  </si>
  <si>
    <t>hsGdp</t>
  </si>
  <si>
    <t>AB.27113</t>
  </si>
  <si>
    <t>KÝ HIỆU</t>
  </si>
  <si>
    <t>Chi phí khác có liên quan (nếu có)</t>
  </si>
  <si>
    <t>hsCPKT</t>
  </si>
  <si>
    <t>TL</t>
  </si>
  <si>
    <t>1. Giá trị hợp đồng ban đầu/Tổng khối lượng phát sinh so với hợp đồng ban đầu:</t>
  </si>
  <si>
    <t>Thành tiền giá thông báo</t>
  </si>
  <si>
    <t>THU NHẬP CHỊU THUẾ TÍNH TRƯỚC ((T + GT) x 6%)</t>
  </si>
  <si>
    <t>Chủ đầu tư:</t>
  </si>
  <si>
    <t>Gtv</t>
  </si>
  <si>
    <t>HẠNG MỤC:</t>
  </si>
  <si>
    <t>- Hệ số điều chỉnh máy thi công</t>
  </si>
  <si>
    <t>II</t>
  </si>
  <si>
    <t>Dự phòng cho yếu tố khối lượng phát sinh</t>
  </si>
  <si>
    <t>Tổng số:</t>
  </si>
  <si>
    <t>Chi phí xây dựng trước thuế (T + GT + TL)</t>
  </si>
  <si>
    <t>Hao phí</t>
  </si>
  <si>
    <t>Chi phí thẩm tra thiết kế bản vẽ thi công</t>
  </si>
  <si>
    <t>THUẾ GIÁ TRỊ GIA TĂNG</t>
  </si>
  <si>
    <t>Chi phí một số công việc không xác định được khối lượng từ thiết kế</t>
  </si>
  <si>
    <t>Cách thẩm định:</t>
  </si>
  <si>
    <t>Cách tính</t>
  </si>
  <si>
    <t>-------------o0o-------------</t>
  </si>
  <si>
    <t>Hệ số đảm bảo an toàn giao thông</t>
  </si>
  <si>
    <t>- Căn cứ vào khối lượng xác định từ hồ sơ bản vẽ thiết kế.</t>
  </si>
  <si>
    <t>Số lần bốc xếp</t>
  </si>
  <si>
    <t>hsGTGT</t>
  </si>
  <si>
    <t>NGUYỄN VĂN A</t>
  </si>
  <si>
    <t>Định mức tiêu hao nhiên liệu, năng lượng 1 ca</t>
  </si>
  <si>
    <t>Đại diện hợp pháp của nhà thầu</t>
  </si>
  <si>
    <t>Tổng cước bộ</t>
  </si>
  <si>
    <t>Chi phí nhiên liệu</t>
  </si>
  <si>
    <t>Dầu Diezel 0,05S</t>
  </si>
  <si>
    <t>- Đơn giá máy thi công gốc</t>
  </si>
  <si>
    <t>BNC</t>
  </si>
  <si>
    <t>TỔNG CỘNG</t>
  </si>
  <si>
    <t>Cộng nhân công:</t>
  </si>
  <si>
    <t>Chỉ số giá XD bình quân</t>
  </si>
  <si>
    <t>Thuế giá trị gia tăng</t>
  </si>
  <si>
    <t>Chỉ số giá của từng năm (%)</t>
  </si>
  <si>
    <t>Khối lượng toàn bộ</t>
  </si>
  <si>
    <t>LBC12</t>
  </si>
  <si>
    <t>Hệ số giảm thầu</t>
  </si>
  <si>
    <t>Tổng bù</t>
  </si>
  <si>
    <t>Chi phí bốc xếp</t>
  </si>
  <si>
    <t>THU NHẬP CHỊU THUẾ TÍNH TRƯỚC</t>
  </si>
  <si>
    <t>Chi phí xây dựng sau thuế</t>
  </si>
  <si>
    <t>Giá nhiên liệu/nhân công</t>
  </si>
  <si>
    <t>Trọng lượng đơn vị (tấn)</t>
  </si>
  <si>
    <t>Thành tiền (đồng)</t>
  </si>
  <si>
    <t>CLM</t>
  </si>
  <si>
    <t>Nội dung</t>
  </si>
  <si>
    <t>Tên nhân công</t>
  </si>
  <si>
    <t>Tổng cộng máy thi công</t>
  </si>
  <si>
    <t>Tổng cộng nhân công</t>
  </si>
  <si>
    <t>Đơn vị</t>
  </si>
  <si>
    <t>5</t>
  </si>
  <si>
    <t>THÀNH TIỀN</t>
  </si>
  <si>
    <t>Chi phí gia công, chế tạo thiết bị cần gia công, chế tạo (nếu có)</t>
  </si>
  <si>
    <t>Chi phí lập phương án kỹ thuật khảo sát xây dựng</t>
  </si>
  <si>
    <t>Điện:</t>
  </si>
  <si>
    <t>NGƯỜI LẬP</t>
  </si>
  <si>
    <t>Cột ẩn</t>
  </si>
  <si>
    <t>Chi phí trực tiếp (VL + NC + M)</t>
  </si>
  <si>
    <t>Ký hiệu</t>
  </si>
  <si>
    <t>Chi phí xây dựng trước thuế</t>
  </si>
  <si>
    <t xml:space="preserve">1. Tổng giá trị khối lượng phát sinh: </t>
  </si>
  <si>
    <t>Giá ca máy</t>
  </si>
  <si>
    <t>hsBM</t>
  </si>
  <si>
    <t>Chi phí</t>
  </si>
  <si>
    <t>BẢNG XÁC ĐỊNH GIÁ TRỊ KHỐI LƯỢNG CÔNG VIỆC HOÀN THÀNH</t>
  </si>
  <si>
    <t>Ký hiệu bản vẽ</t>
  </si>
  <si>
    <t xml:space="preserve">5. Thanh toán để thu hồi tạm ứng: </t>
  </si>
  <si>
    <t>Cước sông</t>
  </si>
  <si>
    <t>Tổng</t>
  </si>
  <si>
    <t>1. Các văn bản:</t>
  </si>
  <si>
    <t>Mã hiệu công tác</t>
  </si>
  <si>
    <t>CÔNG TY TNHH TƯ VẤN XÂY DỰNG PHÚ KHANG</t>
  </si>
  <si>
    <t>Địa chỉ: Tổ 3, phố 1, TT Lang Chánh, huyện Lang Chánh</t>
  </si>
  <si>
    <t>= = = = = o0o = = = = =</t>
  </si>
  <si>
    <t>- Thông tư số 09/2016/TT-BTC ngày 18/01/2016 của Bộ Tài chính quy định về quyết toán dự án hoàn thành thuộc nguồn vốn nhà nước</t>
  </si>
  <si>
    <t>- Thông tư số 08/2016/TT-BTC ngày 18/01/2016 của Bộ Tài chính quy định về quản lý, thanh toán vốn đầu tư sử dụng nguồn vốn ngân sách nhà nước</t>
  </si>
  <si>
    <t>- Thông tư số 209/2016/TT-BTC ngày 10/11/2016 của Bộ Tài Chính về việc Quy định mức thu, chế độ thu, nộp quản lý và sử dụng phí thẩm định dự án đầu tư xây dựng. Phí thẩm định thiết kế cơ sở;</t>
  </si>
  <si>
    <t>- Thông tư số 09/2019/TT-BXD ngày 26/12/2019 của Bộ xây dựng về việc hướng dẫn xác định và quản lý chi phí đầu tư xây dựng</t>
  </si>
  <si>
    <t>- Thông tư số 10/2019/TT-BXD ngày 26/12/2019 của Bộ xây dựng về định mức xây dựng</t>
  </si>
  <si>
    <t>- Thông tư số 11/2019/TT-BXD ngày 26/12/2019 của Bộ xây dựng hướng dẫn xác định giá ca máy và thiết bị thi công xây dựng.</t>
  </si>
  <si>
    <t>- Thông tư số 15/2019/TT-BXD ngày 26/12/2016 của Bộ Xây dựng về việc hướng dẫn xác định đơn giá nhân công trong quản lý chi phí đầu tư xây dựng.</t>
  </si>
  <si>
    <t>- Nghị định 32/2015/NĐ-CP ngày 25/03/2015 của Chính phủ về quản lý chi phí đầu tư xây dựng.</t>
  </si>
  <si>
    <t>- Thông tư số 65/2013/TT-BTC Sửa đổi, bổ sung Thông tư số 06/2012/TT-BTC ngày 11/01/2012 của Bộ Tài chính hướng dẫn thi hành một số điều của Luật Thuế Giá trị Gia tăng, hướng dẫn thi hành Nghị định số 123/2008/NĐ-CP ngày 08/12/2008 và Nghị Định số 121/2011/NĐ-CP ngày 27/12/2011 của Chính Phủ</t>
  </si>
  <si>
    <t>- Thông tư số 16/2019/TT-BXD ngày 26/12/2019 của Bộ xây dựng về việc hướng dẫn xác định chi phí quản lý dự án và tư vấn đầu tư xây dựng</t>
  </si>
  <si>
    <t>- Nghị định số 66/2013/NĐ-CP ngày 27/06/2013 của Chính phủ quy định mức lương cơ sở đối với cán bộ, công chức, viên chức và lực lượng vũ trang</t>
  </si>
  <si>
    <t>- Thông tư số 10/2020/TT-BXD ngày 20/02/2020 của Bộ tài chính về việc Quy định về quyết toán dự án hoàn thành sử dụng nguồn vốn Nhà nước</t>
  </si>
  <si>
    <t>- Quyết định số: 2215/QĐ-UBND ngày 15/6/2020 của UBND tỉnh Thanh Hóa về việc công bố đơn giá nhân công trên địa bàn tỉnh Thanh Hóa</t>
  </si>
  <si>
    <t>- Nghị định số 182/2013/NĐ-CP ngày 14/11/2013 của Chính phủ quy định mức lương tối thiểu vùng đối với người lao động làm việc ở doanh nghiệp, hợp tác xã, tổ hợp tác, trang trại, hộ gia đình, cá nhân và các cơ quan, tổ chức có thuê mướn lao động</t>
  </si>
  <si>
    <t>+</t>
  </si>
  <si>
    <t>Chi phí xây dựng:</t>
  </si>
  <si>
    <t>Chi phí BQL dự án:</t>
  </si>
  <si>
    <t>Chi phí tư vấn XD:</t>
  </si>
  <si>
    <t>Chi phí khác:</t>
  </si>
  <si>
    <t>Nguyễn Ngọc Tiến</t>
  </si>
  <si>
    <t>CÔNG TRÌNH: ĐƯỜNG LÂM SINH XÃ HIỀN CHUNG, NAM ĐỘNG, PHÚ XUÂN, HUYỆN QUAN HÓA, TỈNH THANH HÓA</t>
  </si>
  <si>
    <t>HẠNG MỤC: XÃ HIỀN CHUNG</t>
  </si>
  <si>
    <t>Xã Hiền Chung</t>
  </si>
  <si>
    <t>Xã Nam Động</t>
  </si>
  <si>
    <t>2.3</t>
  </si>
  <si>
    <t>Xã Phú Xuân</t>
  </si>
  <si>
    <t>Thanh Hóa, ngày .… tháng    năm 2021</t>
  </si>
  <si>
    <t>- Đơn giá theo Quyết định số 366/QĐ-UBND ngày 27/01/2021 của UBND tỉnh Thanh Hóa về việc công bố Bộ đơn giá xây dựng công trình trên địa bàn tỉnh Thanh Hóa.</t>
  </si>
  <si>
    <t>- Công bố giá vật liệu Quý II năm 2021 của Liên Sở Xây dựng - Tài chính tỉnh Thanh Hóa</t>
  </si>
  <si>
    <t>Bằng chữ: Bảy trăm ba mươi triệu, năm trăm bảy mươi tư nghìn đồng./.</t>
  </si>
  <si>
    <t>Bằng chữ: Hai trăm lẻ chín triệu, bốn trăm năm mươi bảy nghìn đồng</t>
  </si>
  <si>
    <t>(Gxd) trước thuế x tỷ lệ</t>
  </si>
  <si>
    <t>Chi phí lập báo cáo kinh tế - kỹ thuật (Thông tư 16/2019/TT-BXD)</t>
  </si>
  <si>
    <t>Chi phí giám sát thi công xây dựng (Thông tư 16/2019/TT-BXD)</t>
  </si>
  <si>
    <t>(Ban hành kèm theo Thông tư số 17/2019/TT-BXD ngày 26/12/2019 của Bộ Xây dựng)</t>
  </si>
  <si>
    <t>Đào rãnh đất bằng thủ công (3%KL) cấp III</t>
  </si>
  <si>
    <t>(228,96+172,96)*3% = 12,06</t>
  </si>
  <si>
    <t>(228,96+172,96)*97%/100 = 3,9</t>
  </si>
  <si>
    <t>Chi phí định dự án</t>
  </si>
  <si>
    <t>1,1</t>
  </si>
  <si>
    <t>1,2</t>
  </si>
  <si>
    <t>1,3</t>
  </si>
  <si>
    <t xml:space="preserve">Theo bảng tổng hợp dự toán </t>
  </si>
  <si>
    <t>Theo bảng tổng hợp dự toán</t>
  </si>
  <si>
    <t>Phụ lục: BẢNG TỔNG HỢP TỔNG MỨC ĐẦU TƯ XÂY DỰNG</t>
  </si>
  <si>
    <t>( Kèm theo Quyết định số         /QĐ-UBND ngày       tháng 11 năm 2021 của UBND huyện Quan Hóa)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</si>
</sst>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
    <numFmt numFmtId="174" formatCode="#,##0.000"/>
    <numFmt numFmtId="175" formatCode="0.0%"/>
    <numFmt numFmtId="176" formatCode="#,###"/>
    <numFmt numFmtId="177" formatCode="#,##0.000%"/>
    <numFmt numFmtId="178" formatCode="0.000%"/>
    <numFmt numFmtId="179" formatCode="_(* #,##0_);_(* \(#,##0\);_(* &quot;-&quot;??_);_(@_)"/>
  </numFmts>
  <fonts count="82">
    <font>
      <sz val="11"/>
      <color theme="1"/>
      <name val="Calibri"/>
      <family val="2"/>
    </font>
    <font>
      <sz val="11"/>
      <name val="Calibri"/>
      <family val="2"/>
    </font>
    <font>
      <b/>
      <sz val="8"/>
      <name val="Tahoma"/>
      <family val="0"/>
    </font>
    <font>
      <b/>
      <sz val="11"/>
      <name val="Times New Roman"/>
      <family val="2"/>
    </font>
    <font>
      <sz val="11"/>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2"/>
    </font>
    <font>
      <b/>
      <sz val="11"/>
      <color indexed="8"/>
      <name val="Times New Roman"/>
      <family val="2"/>
    </font>
    <font>
      <sz val="11"/>
      <color indexed="12"/>
      <name val="Times New Roman"/>
      <family val="2"/>
    </font>
    <font>
      <b/>
      <i/>
      <sz val="11"/>
      <color indexed="12"/>
      <name val="Times New Roman"/>
      <family val="2"/>
    </font>
    <font>
      <b/>
      <sz val="11"/>
      <color indexed="12"/>
      <name val="Times New Roman"/>
      <family val="2"/>
    </font>
    <font>
      <b/>
      <sz val="12"/>
      <color indexed="8"/>
      <name val="Times New Roman"/>
      <family val="2"/>
    </font>
    <font>
      <b/>
      <i/>
      <sz val="14"/>
      <color indexed="8"/>
      <name val="Times New Roman"/>
      <family val="2"/>
    </font>
    <font>
      <sz val="11"/>
      <color indexed="23"/>
      <name val="Times New Roman"/>
      <family val="2"/>
    </font>
    <font>
      <b/>
      <sz val="14"/>
      <color indexed="8"/>
      <name val="Times New Roman"/>
      <family val="2"/>
    </font>
    <font>
      <i/>
      <sz val="11"/>
      <color indexed="8"/>
      <name val="Times New Roman"/>
      <family val="1"/>
    </font>
    <font>
      <b/>
      <sz val="13"/>
      <color indexed="8"/>
      <name val="Times New Roman"/>
      <family val="2"/>
    </font>
    <font>
      <b/>
      <sz val="20"/>
      <color indexed="8"/>
      <name val="Times New Roman"/>
      <family val="2"/>
    </font>
    <font>
      <b/>
      <i/>
      <sz val="11"/>
      <color indexed="8"/>
      <name val="Times New Roman"/>
      <family val="2"/>
    </font>
    <font>
      <b/>
      <sz val="15"/>
      <color indexed="8"/>
      <name val="Times New Roman"/>
      <family val="2"/>
    </font>
    <font>
      <b/>
      <sz val="11"/>
      <color indexed="23"/>
      <name val="Times New Roman"/>
      <family val="2"/>
    </font>
    <font>
      <b/>
      <sz val="24"/>
      <color indexed="8"/>
      <name val="Times New Roman"/>
      <family val="2"/>
    </font>
    <font>
      <sz val="14"/>
      <color indexed="8"/>
      <name val="Times New Roman"/>
      <family val="2"/>
    </font>
    <font>
      <sz val="12"/>
      <color indexed="8"/>
      <name val="Times New Roman"/>
      <family val="2"/>
    </font>
    <font>
      <sz val="13"/>
      <color indexed="12"/>
      <name val="Times New Roman"/>
      <family val="2"/>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2"/>
    </font>
    <font>
      <b/>
      <sz val="11"/>
      <color rgb="FF000000"/>
      <name val="Times New Roman"/>
      <family val="2"/>
    </font>
    <font>
      <sz val="11"/>
      <color rgb="FF0000FF"/>
      <name val="Times New Roman"/>
      <family val="2"/>
    </font>
    <font>
      <b/>
      <i/>
      <sz val="11"/>
      <color rgb="FF0000FF"/>
      <name val="Times New Roman"/>
      <family val="2"/>
    </font>
    <font>
      <b/>
      <sz val="11"/>
      <color rgb="FF0000FF"/>
      <name val="Times New Roman"/>
      <family val="2"/>
    </font>
    <font>
      <b/>
      <sz val="12"/>
      <color theme="1"/>
      <name val="Times New Roman"/>
      <family val="2"/>
    </font>
    <font>
      <b/>
      <i/>
      <sz val="14"/>
      <color rgb="FF000000"/>
      <name val="Times New Roman"/>
      <family val="2"/>
    </font>
    <font>
      <sz val="11"/>
      <color theme="1"/>
      <name val="Times New Roman"/>
      <family val="2"/>
    </font>
    <font>
      <sz val="11"/>
      <color rgb="FF808080"/>
      <name val="Times New Roman"/>
      <family val="2"/>
    </font>
    <font>
      <b/>
      <sz val="14"/>
      <color rgb="FF000000"/>
      <name val="Times New Roman"/>
      <family val="2"/>
    </font>
    <font>
      <i/>
      <sz val="11"/>
      <color rgb="FF000000"/>
      <name val="Times New Roman"/>
      <family val="1"/>
    </font>
    <font>
      <i/>
      <sz val="11"/>
      <color theme="1"/>
      <name val="Times New Roman"/>
      <family val="1"/>
    </font>
    <font>
      <b/>
      <sz val="12"/>
      <color rgb="FF000000"/>
      <name val="Times New Roman"/>
      <family val="2"/>
    </font>
    <font>
      <b/>
      <sz val="13"/>
      <color rgb="FF000000"/>
      <name val="Times New Roman"/>
      <family val="2"/>
    </font>
    <font>
      <b/>
      <sz val="20"/>
      <color rgb="FF000000"/>
      <name val="Times New Roman"/>
      <family val="2"/>
    </font>
    <font>
      <b/>
      <sz val="15"/>
      <color rgb="FF000000"/>
      <name val="Times New Roman"/>
      <family val="2"/>
    </font>
    <font>
      <b/>
      <i/>
      <sz val="11"/>
      <color rgb="FF000000"/>
      <name val="Times New Roman"/>
      <family val="2"/>
    </font>
    <font>
      <b/>
      <sz val="11"/>
      <color rgb="FF808080"/>
      <name val="Times New Roman"/>
      <family val="2"/>
    </font>
    <font>
      <b/>
      <sz val="24"/>
      <color rgb="FF000000"/>
      <name val="Times New Roman"/>
      <family val="2"/>
    </font>
    <font>
      <sz val="14"/>
      <color rgb="FF000000"/>
      <name val="Times New Roman"/>
      <family val="2"/>
    </font>
    <font>
      <sz val="12"/>
      <color rgb="FF000000"/>
      <name val="Times New Roman"/>
      <family val="2"/>
    </font>
    <font>
      <sz val="13"/>
      <color rgb="FF0000FF"/>
      <name val="Times New Roman"/>
      <family val="2"/>
    </font>
    <font>
      <i/>
      <sz val="14"/>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EFF2"/>
        <bgColor indexed="64"/>
      </patternFill>
    </fill>
    <fill>
      <patternFill patternType="solid">
        <fgColor rgb="FFFFFFB4"/>
        <bgColor indexed="64"/>
      </patternFill>
    </fill>
    <fill>
      <patternFill patternType="solid">
        <fgColor rgb="FFB4FFB4"/>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thin"/>
      <bottom style="thin"/>
    </border>
    <border>
      <left style="thin"/>
      <right style="thin"/>
      <top style="hair"/>
      <bottom style="hair"/>
    </border>
    <border>
      <left style="thin"/>
      <right style="thin"/>
      <top>
        <color indexed="63"/>
      </top>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9">
    <xf numFmtId="0" fontId="0" fillId="0" borderId="0" xfId="0" applyFont="1" applyAlignment="1">
      <alignment/>
    </xf>
    <xf numFmtId="172" fontId="58" fillId="0" borderId="10" xfId="0" applyNumberFormat="1" applyFont="1" applyBorder="1" applyAlignment="1">
      <alignment horizontal="center" vertical="top" wrapText="1"/>
    </xf>
    <xf numFmtId="0" fontId="59" fillId="0" borderId="10" xfId="0" applyFont="1" applyBorder="1" applyAlignment="1">
      <alignment horizontal="center" vertical="top" wrapText="1"/>
    </xf>
    <xf numFmtId="0" fontId="59" fillId="0" borderId="10" xfId="0" applyFont="1" applyBorder="1" applyAlignment="1">
      <alignment wrapText="1"/>
    </xf>
    <xf numFmtId="9" fontId="59" fillId="33" borderId="11" xfId="0" applyNumberFormat="1" applyFont="1" applyFill="1" applyBorder="1" applyAlignment="1">
      <alignment horizontal="center" vertical="top" wrapText="1"/>
    </xf>
    <xf numFmtId="177" fontId="59" fillId="0" borderId="12" xfId="0" applyNumberFormat="1" applyFont="1" applyBorder="1" applyAlignment="1">
      <alignment horizontal="right" vertical="top" wrapText="1"/>
    </xf>
    <xf numFmtId="174" fontId="58" fillId="0" borderId="12" xfId="0" applyNumberFormat="1" applyFont="1" applyBorder="1" applyAlignment="1">
      <alignment horizontal="right" vertical="top" wrapText="1"/>
    </xf>
    <xf numFmtId="0" fontId="59" fillId="33" borderId="11" xfId="0" applyFont="1" applyFill="1" applyBorder="1" applyAlignment="1">
      <alignment horizontal="center" vertical="center" wrapText="1"/>
    </xf>
    <xf numFmtId="0" fontId="59" fillId="33" borderId="11" xfId="0" applyFont="1" applyFill="1" applyBorder="1" applyAlignment="1">
      <alignment horizontal="right" vertical="top" wrapText="1"/>
    </xf>
    <xf numFmtId="49" fontId="59" fillId="0" borderId="10" xfId="0" applyNumberFormat="1" applyFont="1" applyBorder="1" applyAlignment="1">
      <alignment horizontal="left" vertical="top" wrapText="1"/>
    </xf>
    <xf numFmtId="3" fontId="60" fillId="0" borderId="10" xfId="0" applyNumberFormat="1" applyFont="1" applyBorder="1" applyAlignment="1">
      <alignment horizontal="right" vertical="top" wrapText="1"/>
    </xf>
    <xf numFmtId="174" fontId="61" fillId="0" borderId="12" xfId="0" applyNumberFormat="1" applyFont="1" applyBorder="1" applyAlignment="1">
      <alignment horizontal="right" vertical="top" wrapText="1"/>
    </xf>
    <xf numFmtId="0" fontId="62" fillId="0" borderId="11" xfId="0" applyFont="1" applyBorder="1" applyAlignment="1">
      <alignment horizontal="center" vertical="top" wrapText="1"/>
    </xf>
    <xf numFmtId="173" fontId="58" fillId="0" borderId="10" xfId="0" applyNumberFormat="1" applyFont="1" applyBorder="1" applyAlignment="1">
      <alignment horizontal="right" vertical="top" wrapText="1"/>
    </xf>
    <xf numFmtId="49" fontId="59" fillId="33" borderId="11" xfId="0" applyNumberFormat="1" applyFont="1" applyFill="1" applyBorder="1" applyAlignment="1">
      <alignment horizontal="center" vertical="top" wrapText="1"/>
    </xf>
    <xf numFmtId="0" fontId="58" fillId="0" borderId="11" xfId="0" applyFont="1" applyBorder="1" applyAlignment="1">
      <alignment horizontal="left" vertical="top"/>
    </xf>
    <xf numFmtId="0" fontId="63" fillId="0" borderId="0" xfId="0" applyFont="1" applyAlignment="1">
      <alignment/>
    </xf>
    <xf numFmtId="172" fontId="59" fillId="33" borderId="11" xfId="0" applyNumberFormat="1" applyFont="1" applyFill="1" applyBorder="1" applyAlignment="1">
      <alignment horizontal="center" vertical="top" wrapText="1"/>
    </xf>
    <xf numFmtId="0" fontId="58" fillId="0" borderId="12" xfId="0" applyFont="1" applyBorder="1" applyAlignment="1">
      <alignment horizontal="right" vertical="top" wrapText="1"/>
    </xf>
    <xf numFmtId="3" fontId="58" fillId="0" borderId="11" xfId="0" applyNumberFormat="1" applyFont="1" applyBorder="1" applyAlignment="1">
      <alignment horizontal="right" vertical="top" wrapText="1"/>
    </xf>
    <xf numFmtId="174" fontId="59" fillId="0" borderId="10" xfId="0" applyNumberFormat="1" applyFont="1" applyBorder="1" applyAlignment="1">
      <alignment horizontal="right" vertical="top" wrapText="1"/>
    </xf>
    <xf numFmtId="0" fontId="61" fillId="0" borderId="12" xfId="0" applyFont="1" applyBorder="1" applyAlignment="1">
      <alignment horizontal="right" vertical="top" wrapText="1"/>
    </xf>
    <xf numFmtId="0" fontId="58" fillId="0" borderId="13" xfId="0" applyFont="1" applyBorder="1" applyAlignment="1">
      <alignment horizontal="right" vertical="top" wrapText="1"/>
    </xf>
    <xf numFmtId="0" fontId="60" fillId="0" borderId="14" xfId="0" applyFont="1" applyBorder="1" applyAlignment="1">
      <alignment horizontal="right" vertical="top" wrapText="1"/>
    </xf>
    <xf numFmtId="0" fontId="58" fillId="34" borderId="13" xfId="0" applyFont="1" applyFill="1" applyBorder="1" applyAlignment="1">
      <alignment horizontal="right" vertical="top" wrapText="1"/>
    </xf>
    <xf numFmtId="176" fontId="64" fillId="0" borderId="0" xfId="0" applyNumberFormat="1" applyFont="1" applyAlignment="1">
      <alignment horizontal="right" vertical="top" wrapText="1"/>
    </xf>
    <xf numFmtId="0" fontId="58" fillId="0" borderId="0" xfId="0" applyFont="1" applyAlignment="1">
      <alignment horizontal="left" vertical="top"/>
    </xf>
    <xf numFmtId="0" fontId="58" fillId="0" borderId="10" xfId="0" applyFont="1" applyBorder="1" applyAlignment="1">
      <alignment horizontal="right" vertical="center" wrapText="1"/>
    </xf>
    <xf numFmtId="0" fontId="60" fillId="0" borderId="0" xfId="0" applyFont="1" applyAlignment="1">
      <alignment horizontal="right" vertical="top" wrapText="1"/>
    </xf>
    <xf numFmtId="172" fontId="61" fillId="0" borderId="12" xfId="0" applyNumberFormat="1" applyFont="1" applyBorder="1" applyAlignment="1">
      <alignment horizontal="center" vertical="top" wrapText="1"/>
    </xf>
    <xf numFmtId="172" fontId="58" fillId="0" borderId="12" xfId="0" applyNumberFormat="1" applyFont="1" applyBorder="1" applyAlignment="1">
      <alignment horizontal="center" vertical="top" wrapText="1"/>
    </xf>
    <xf numFmtId="0" fontId="59" fillId="0" borderId="12" xfId="0" applyFont="1" applyBorder="1" applyAlignment="1">
      <alignment horizontal="center" vertical="top" wrapText="1"/>
    </xf>
    <xf numFmtId="0" fontId="59" fillId="0" borderId="12" xfId="0" applyFont="1" applyBorder="1" applyAlignment="1">
      <alignment wrapText="1"/>
    </xf>
    <xf numFmtId="3" fontId="58" fillId="0" borderId="14" xfId="0" applyNumberFormat="1" applyFont="1" applyBorder="1" applyAlignment="1">
      <alignment horizontal="right" vertical="top" wrapText="1"/>
    </xf>
    <xf numFmtId="173" fontId="59" fillId="33" borderId="11" xfId="0" applyNumberFormat="1" applyFont="1" applyFill="1" applyBorder="1" applyAlignment="1">
      <alignment horizontal="center" vertical="center" wrapText="1"/>
    </xf>
    <xf numFmtId="0" fontId="58" fillId="0" borderId="11" xfId="0" applyFont="1" applyBorder="1" applyAlignment="1">
      <alignment horizontal="left" vertical="top" wrapText="1"/>
    </xf>
    <xf numFmtId="0" fontId="59" fillId="0" borderId="10" xfId="0" applyFont="1" applyBorder="1" applyAlignment="1">
      <alignment horizontal="right" vertical="top" wrapText="1"/>
    </xf>
    <xf numFmtId="49" fontId="59" fillId="0" borderId="12" xfId="0" applyNumberFormat="1" applyFont="1" applyBorder="1" applyAlignment="1">
      <alignment horizontal="left" vertical="top" wrapText="1"/>
    </xf>
    <xf numFmtId="3" fontId="60" fillId="0" borderId="12" xfId="0" applyNumberFormat="1" applyFont="1" applyBorder="1" applyAlignment="1">
      <alignment horizontal="right" vertical="top" wrapText="1"/>
    </xf>
    <xf numFmtId="9" fontId="59" fillId="33" borderId="11" xfId="0" applyNumberFormat="1" applyFont="1" applyFill="1" applyBorder="1" applyAlignment="1">
      <alignment horizontal="center" vertical="center" wrapText="1"/>
    </xf>
    <xf numFmtId="0" fontId="58" fillId="0" borderId="14" xfId="0" applyFont="1" applyBorder="1" applyAlignment="1">
      <alignment horizontal="left" vertical="top" wrapText="1"/>
    </xf>
    <xf numFmtId="9" fontId="65" fillId="0" borderId="0" xfId="0" applyNumberFormat="1" applyFont="1" applyAlignment="1">
      <alignment/>
    </xf>
    <xf numFmtId="173" fontId="58" fillId="0" borderId="12" xfId="0" applyNumberFormat="1" applyFont="1" applyBorder="1" applyAlignment="1">
      <alignment horizontal="right" vertical="top" wrapText="1"/>
    </xf>
    <xf numFmtId="0" fontId="58" fillId="0" borderId="0" xfId="0" applyFont="1" applyAlignment="1">
      <alignment horizontal="left" vertical="top" wrapText="1"/>
    </xf>
    <xf numFmtId="173" fontId="61" fillId="0" borderId="12" xfId="0" applyNumberFormat="1" applyFont="1" applyBorder="1" applyAlignment="1">
      <alignment horizontal="right" vertical="top" wrapText="1"/>
    </xf>
    <xf numFmtId="172" fontId="59" fillId="0" borderId="10" xfId="0" applyNumberFormat="1" applyFont="1" applyBorder="1" applyAlignment="1">
      <alignment horizontal="center" vertical="top" wrapText="1"/>
    </xf>
    <xf numFmtId="0" fontId="62" fillId="0" borderId="11" xfId="0" applyFont="1" applyBorder="1" applyAlignment="1">
      <alignment horizontal="right" vertical="top" wrapText="1"/>
    </xf>
    <xf numFmtId="0" fontId="60" fillId="0" borderId="12" xfId="0" applyFont="1" applyBorder="1" applyAlignment="1">
      <alignment horizontal="left" vertical="top" wrapText="1"/>
    </xf>
    <xf numFmtId="173" fontId="60" fillId="0" borderId="14" xfId="0" applyNumberFormat="1" applyFont="1" applyBorder="1" applyAlignment="1">
      <alignment horizontal="right" vertical="top" wrapText="1"/>
    </xf>
    <xf numFmtId="177" fontId="58" fillId="0" borderId="14" xfId="0" applyNumberFormat="1" applyFont="1" applyBorder="1" applyAlignment="1">
      <alignment horizontal="right" vertical="top" wrapText="1"/>
    </xf>
    <xf numFmtId="0" fontId="62" fillId="0" borderId="10" xfId="0" applyFont="1" applyBorder="1" applyAlignment="1">
      <alignment horizontal="left" vertical="top" wrapText="1"/>
    </xf>
    <xf numFmtId="49" fontId="59" fillId="33" borderId="11" xfId="0" applyNumberFormat="1" applyFont="1" applyFill="1" applyBorder="1" applyAlignment="1">
      <alignment horizontal="center" vertical="center" wrapText="1"/>
    </xf>
    <xf numFmtId="174" fontId="59" fillId="0" borderId="12" xfId="0" applyNumberFormat="1" applyFont="1" applyBorder="1" applyAlignment="1">
      <alignment horizontal="right" vertical="top" wrapText="1"/>
    </xf>
    <xf numFmtId="172" fontId="59" fillId="33" borderId="11" xfId="0" applyNumberFormat="1" applyFont="1" applyFill="1" applyBorder="1" applyAlignment="1">
      <alignment horizontal="center" vertical="center" wrapText="1"/>
    </xf>
    <xf numFmtId="9" fontId="58" fillId="0" borderId="12" xfId="0" applyNumberFormat="1" applyFont="1" applyBorder="1" applyAlignment="1">
      <alignment horizontal="right" vertical="top" wrapText="1"/>
    </xf>
    <xf numFmtId="9" fontId="58" fillId="34" borderId="13" xfId="0" applyNumberFormat="1" applyFont="1" applyFill="1" applyBorder="1" applyAlignment="1">
      <alignment horizontal="right" vertical="top" wrapText="1"/>
    </xf>
    <xf numFmtId="172" fontId="62" fillId="0" borderId="11" xfId="0" applyNumberFormat="1" applyFont="1" applyBorder="1" applyAlignment="1">
      <alignment horizontal="center" vertical="top" wrapText="1"/>
    </xf>
    <xf numFmtId="173" fontId="59" fillId="0" borderId="10" xfId="0" applyNumberFormat="1" applyFont="1" applyBorder="1" applyAlignment="1">
      <alignment horizontal="right" vertical="top" wrapText="1"/>
    </xf>
    <xf numFmtId="0" fontId="60" fillId="0" borderId="14" xfId="0" applyFont="1" applyBorder="1" applyAlignment="1">
      <alignment horizontal="right" vertical="center" wrapText="1"/>
    </xf>
    <xf numFmtId="0" fontId="66" fillId="0" borderId="10" xfId="0" applyFont="1" applyBorder="1" applyAlignment="1">
      <alignment horizontal="left" vertical="top"/>
    </xf>
    <xf numFmtId="10" fontId="65" fillId="0" borderId="0" xfId="0" applyNumberFormat="1" applyFont="1" applyAlignment="1">
      <alignment/>
    </xf>
    <xf numFmtId="3" fontId="59" fillId="0" borderId="11" xfId="0" applyNumberFormat="1" applyFont="1" applyBorder="1" applyAlignment="1">
      <alignment horizontal="right" vertical="top" wrapText="1"/>
    </xf>
    <xf numFmtId="0" fontId="59" fillId="0" borderId="12" xfId="0" applyFont="1" applyBorder="1" applyAlignment="1">
      <alignment horizontal="right" vertical="top" wrapText="1"/>
    </xf>
    <xf numFmtId="0" fontId="58" fillId="0" borderId="11" xfId="0" applyFont="1" applyBorder="1" applyAlignment="1">
      <alignment wrapText="1"/>
    </xf>
    <xf numFmtId="0" fontId="58" fillId="0" borderId="11" xfId="0" applyFont="1" applyBorder="1" applyAlignment="1">
      <alignment horizontal="center" vertical="top" wrapText="1"/>
    </xf>
    <xf numFmtId="0" fontId="59" fillId="0" borderId="13" xfId="0" applyFont="1" applyBorder="1" applyAlignment="1">
      <alignment horizontal="right" vertical="top" wrapText="1"/>
    </xf>
    <xf numFmtId="3" fontId="62" fillId="0" borderId="12" xfId="0" applyNumberFormat="1" applyFont="1" applyBorder="1" applyAlignment="1">
      <alignment horizontal="right" vertical="top" wrapText="1"/>
    </xf>
    <xf numFmtId="173" fontId="62" fillId="0" borderId="11" xfId="0" applyNumberFormat="1" applyFont="1" applyBorder="1" applyAlignment="1">
      <alignment horizontal="right" vertical="top" wrapText="1"/>
    </xf>
    <xf numFmtId="10" fontId="58" fillId="0" borderId="12" xfId="0" applyNumberFormat="1" applyFont="1" applyBorder="1" applyAlignment="1">
      <alignment horizontal="right" vertical="top" wrapText="1"/>
    </xf>
    <xf numFmtId="0" fontId="58" fillId="0" borderId="14" xfId="0" applyFont="1" applyBorder="1" applyAlignment="1">
      <alignment horizontal="center" vertical="top" wrapText="1"/>
    </xf>
    <xf numFmtId="0" fontId="58" fillId="0" borderId="14" xfId="0" applyFont="1" applyBorder="1" applyAlignment="1">
      <alignment wrapText="1"/>
    </xf>
    <xf numFmtId="3" fontId="59" fillId="33" borderId="11" xfId="0" applyNumberFormat="1" applyFont="1" applyFill="1" applyBorder="1" applyAlignment="1">
      <alignment horizontal="center" vertical="top" wrapText="1"/>
    </xf>
    <xf numFmtId="172" fontId="59" fillId="0" borderId="12" xfId="0" applyNumberFormat="1" applyFont="1" applyBorder="1" applyAlignment="1">
      <alignment horizontal="center" vertical="top" wrapText="1"/>
    </xf>
    <xf numFmtId="3" fontId="59" fillId="0" borderId="14" xfId="0" applyNumberFormat="1" applyFont="1" applyBorder="1" applyAlignment="1">
      <alignment horizontal="right" vertical="top" wrapText="1"/>
    </xf>
    <xf numFmtId="0" fontId="58" fillId="0" borderId="0" xfId="0" applyFont="1" applyAlignment="1">
      <alignment horizontal="center" vertical="top" wrapText="1"/>
    </xf>
    <xf numFmtId="0" fontId="62" fillId="0" borderId="12" xfId="0" applyFont="1" applyBorder="1" applyAlignment="1">
      <alignment horizontal="left" vertical="top" wrapText="1"/>
    </xf>
    <xf numFmtId="0" fontId="67" fillId="0" borderId="0" xfId="0" applyFont="1" applyAlignment="1">
      <alignment horizontal="left" vertical="top" wrapText="1"/>
    </xf>
    <xf numFmtId="0" fontId="64" fillId="0" borderId="0" xfId="0" applyFont="1" applyAlignment="1">
      <alignment horizontal="left" vertical="top" wrapText="1"/>
    </xf>
    <xf numFmtId="0" fontId="59" fillId="0" borderId="14" xfId="0" applyFont="1" applyBorder="1" applyAlignment="1">
      <alignment horizontal="left" vertical="top" wrapText="1"/>
    </xf>
    <xf numFmtId="0" fontId="62" fillId="0" borderId="11" xfId="0" applyFont="1" applyBorder="1" applyAlignment="1">
      <alignment horizontal="right" vertical="center" wrapText="1"/>
    </xf>
    <xf numFmtId="174" fontId="58" fillId="0" borderId="11" xfId="0" applyNumberFormat="1" applyFont="1" applyBorder="1" applyAlignment="1">
      <alignment horizontal="right" vertical="top" wrapText="1"/>
    </xf>
    <xf numFmtId="173" fontId="59" fillId="0" borderId="12" xfId="0" applyNumberFormat="1" applyFont="1" applyBorder="1" applyAlignment="1">
      <alignment horizontal="right" vertical="top" wrapText="1"/>
    </xf>
    <xf numFmtId="0" fontId="59" fillId="0" borderId="0" xfId="0" applyFont="1" applyAlignment="1">
      <alignment horizontal="left" vertical="top" wrapText="1"/>
    </xf>
    <xf numFmtId="3" fontId="58" fillId="0" borderId="12" xfId="0" applyNumberFormat="1" applyFont="1" applyBorder="1" applyAlignment="1">
      <alignment horizontal="center" vertical="top" wrapText="1"/>
    </xf>
    <xf numFmtId="3" fontId="58" fillId="35" borderId="14" xfId="0" applyNumberFormat="1" applyFont="1" applyFill="1" applyBorder="1" applyAlignment="1">
      <alignment horizontal="right" vertical="top" wrapText="1"/>
    </xf>
    <xf numFmtId="0" fontId="66" fillId="0" borderId="12" xfId="0" applyFont="1" applyBorder="1" applyAlignment="1">
      <alignment horizontal="left" vertical="top"/>
    </xf>
    <xf numFmtId="3" fontId="58" fillId="0" borderId="10" xfId="0" applyNumberFormat="1" applyFont="1" applyBorder="1" applyAlignment="1">
      <alignment horizontal="right" vertical="top" wrapText="1"/>
    </xf>
    <xf numFmtId="174" fontId="58" fillId="0" borderId="14" xfId="0" applyNumberFormat="1" applyFont="1" applyBorder="1" applyAlignment="1">
      <alignment horizontal="right" vertical="top" wrapText="1"/>
    </xf>
    <xf numFmtId="0" fontId="58" fillId="0" borderId="11" xfId="0" applyFont="1" applyBorder="1" applyAlignment="1">
      <alignment horizontal="right" vertical="top" wrapText="1"/>
    </xf>
    <xf numFmtId="3" fontId="59" fillId="0" borderId="10" xfId="0" applyNumberFormat="1" applyFont="1" applyBorder="1" applyAlignment="1">
      <alignment horizontal="center" vertical="top" wrapText="1"/>
    </xf>
    <xf numFmtId="0" fontId="58" fillId="0" borderId="10" xfId="0" applyFont="1" applyBorder="1" applyAlignment="1">
      <alignment horizontal="left" vertical="top" wrapText="1"/>
    </xf>
    <xf numFmtId="172" fontId="58" fillId="0" borderId="11" xfId="0" applyNumberFormat="1" applyFont="1" applyBorder="1" applyAlignment="1">
      <alignment horizontal="center" vertical="top" wrapText="1"/>
    </xf>
    <xf numFmtId="3" fontId="59" fillId="33" borderId="11" xfId="0" applyNumberFormat="1" applyFont="1" applyFill="1" applyBorder="1" applyAlignment="1">
      <alignment horizontal="center" vertical="center" wrapText="1"/>
    </xf>
    <xf numFmtId="0" fontId="58" fillId="0" borderId="14" xfId="0" applyFont="1" applyBorder="1" applyAlignment="1">
      <alignment horizontal="right" vertical="top" wrapText="1"/>
    </xf>
    <xf numFmtId="0" fontId="60" fillId="0" borderId="11" xfId="0" applyFont="1" applyBorder="1" applyAlignment="1">
      <alignment horizontal="left" vertical="top"/>
    </xf>
    <xf numFmtId="0" fontId="59" fillId="0" borderId="11" xfId="0" applyFont="1" applyBorder="1" applyAlignment="1">
      <alignment horizontal="center" vertical="top" wrapText="1"/>
    </xf>
    <xf numFmtId="0" fontId="59" fillId="33" borderId="13" xfId="0" applyFont="1" applyFill="1" applyBorder="1" applyAlignment="1">
      <alignment horizontal="center" vertical="center" wrapText="1"/>
    </xf>
    <xf numFmtId="0" fontId="58" fillId="0" borderId="0" xfId="0" applyFont="1" applyAlignment="1">
      <alignment horizontal="right" vertical="top" wrapText="1"/>
    </xf>
    <xf numFmtId="0" fontId="67" fillId="0" borderId="0" xfId="0" applyFont="1" applyAlignment="1">
      <alignment horizontal="center" vertical="top" wrapText="1"/>
    </xf>
    <xf numFmtId="0" fontId="60" fillId="0" borderId="12" xfId="0" applyFont="1" applyBorder="1" applyAlignment="1">
      <alignment horizontal="right" vertical="top" wrapText="1"/>
    </xf>
    <xf numFmtId="172" fontId="58" fillId="0" borderId="14" xfId="0" applyNumberFormat="1" applyFont="1" applyBorder="1" applyAlignment="1">
      <alignment horizontal="center" vertical="top" wrapText="1"/>
    </xf>
    <xf numFmtId="0" fontId="59" fillId="0" borderId="14" xfId="0" applyFont="1" applyBorder="1" applyAlignment="1">
      <alignment horizontal="center" vertical="top" wrapText="1"/>
    </xf>
    <xf numFmtId="3" fontId="61" fillId="0" borderId="12" xfId="0" applyNumberFormat="1" applyFont="1" applyBorder="1" applyAlignment="1">
      <alignment horizontal="right" vertical="top" wrapText="1"/>
    </xf>
    <xf numFmtId="0" fontId="59" fillId="0" borderId="0" xfId="0" applyFont="1" applyAlignment="1">
      <alignment horizontal="center" vertical="top" wrapText="1"/>
    </xf>
    <xf numFmtId="3" fontId="58" fillId="0" borderId="12" xfId="0" applyNumberFormat="1" applyFont="1" applyBorder="1" applyAlignment="1">
      <alignment horizontal="right" vertical="top" wrapText="1"/>
    </xf>
    <xf numFmtId="173" fontId="58" fillId="0" borderId="11" xfId="0" applyNumberFormat="1" applyFont="1" applyBorder="1" applyAlignment="1">
      <alignment horizontal="right" vertical="top" wrapText="1"/>
    </xf>
    <xf numFmtId="3" fontId="58" fillId="34" borderId="12" xfId="0" applyNumberFormat="1" applyFont="1" applyFill="1" applyBorder="1" applyAlignment="1">
      <alignment horizontal="right" vertical="top" wrapText="1"/>
    </xf>
    <xf numFmtId="3" fontId="60" fillId="0" borderId="14" xfId="0" applyNumberFormat="1" applyFont="1" applyBorder="1" applyAlignment="1">
      <alignment horizontal="right" vertical="top" wrapText="1"/>
    </xf>
    <xf numFmtId="175" fontId="58" fillId="0" borderId="12" xfId="0" applyNumberFormat="1" applyFont="1" applyBorder="1" applyAlignment="1">
      <alignment horizontal="right" vertical="top" wrapText="1"/>
    </xf>
    <xf numFmtId="0" fontId="58" fillId="0" borderId="12" xfId="0" applyFont="1" applyBorder="1" applyAlignment="1">
      <alignment horizontal="left" vertical="top" wrapText="1"/>
    </xf>
    <xf numFmtId="173" fontId="58" fillId="0" borderId="14" xfId="0" applyNumberFormat="1" applyFont="1" applyBorder="1" applyAlignment="1">
      <alignment horizontal="right" vertical="top" wrapText="1"/>
    </xf>
    <xf numFmtId="3" fontId="59" fillId="0" borderId="12" xfId="0" applyNumberFormat="1" applyFont="1" applyBorder="1" applyAlignment="1">
      <alignment horizontal="center" vertical="top" wrapText="1"/>
    </xf>
    <xf numFmtId="0" fontId="61" fillId="0" borderId="12" xfId="0" applyFont="1" applyBorder="1" applyAlignment="1">
      <alignment horizontal="left" vertical="top" wrapText="1"/>
    </xf>
    <xf numFmtId="0" fontId="58" fillId="0" borderId="13" xfId="0" applyFont="1" applyBorder="1" applyAlignment="1">
      <alignment horizontal="left" vertical="top" wrapText="1"/>
    </xf>
    <xf numFmtId="0" fontId="58" fillId="0" borderId="11" xfId="0" applyFont="1" applyBorder="1" applyAlignment="1">
      <alignment horizontal="right" vertical="center" wrapText="1"/>
    </xf>
    <xf numFmtId="0" fontId="60" fillId="0" borderId="14" xfId="0" applyFont="1" applyBorder="1" applyAlignment="1">
      <alignment horizontal="left" vertical="top" wrapText="1"/>
    </xf>
    <xf numFmtId="178" fontId="58" fillId="0" borderId="12" xfId="0" applyNumberFormat="1" applyFont="1" applyBorder="1" applyAlignment="1">
      <alignment horizontal="right" vertical="top" wrapText="1"/>
    </xf>
    <xf numFmtId="3" fontId="59" fillId="0" borderId="10" xfId="0" applyNumberFormat="1" applyFont="1" applyBorder="1" applyAlignment="1">
      <alignment horizontal="right" vertical="top" wrapText="1"/>
    </xf>
    <xf numFmtId="0" fontId="58" fillId="0" borderId="10" xfId="0" applyFont="1" applyBorder="1" applyAlignment="1">
      <alignment wrapText="1"/>
    </xf>
    <xf numFmtId="0" fontId="58" fillId="0" borderId="10" xfId="0" applyFont="1" applyBorder="1" applyAlignment="1">
      <alignment horizontal="center" vertical="top" wrapText="1"/>
    </xf>
    <xf numFmtId="9" fontId="58" fillId="0" borderId="14" xfId="0" applyNumberFormat="1" applyFont="1" applyBorder="1" applyAlignment="1">
      <alignment horizontal="right" vertical="top" wrapText="1"/>
    </xf>
    <xf numFmtId="173" fontId="60" fillId="0" borderId="12" xfId="0" applyNumberFormat="1" applyFont="1" applyBorder="1" applyAlignment="1">
      <alignment horizontal="right" vertical="top" wrapText="1"/>
    </xf>
    <xf numFmtId="177" fontId="58" fillId="0" borderId="12" xfId="0" applyNumberFormat="1" applyFont="1" applyBorder="1" applyAlignment="1">
      <alignment horizontal="right" vertical="top" wrapText="1"/>
    </xf>
    <xf numFmtId="0" fontId="59" fillId="0" borderId="11" xfId="0" applyFont="1" applyBorder="1" applyAlignment="1">
      <alignment horizontal="right" vertical="top" wrapText="1"/>
    </xf>
    <xf numFmtId="49" fontId="58" fillId="0" borderId="10" xfId="0" applyNumberFormat="1" applyFont="1" applyBorder="1" applyAlignment="1">
      <alignment horizontal="left" vertical="top" wrapText="1"/>
    </xf>
    <xf numFmtId="0" fontId="65" fillId="0" borderId="0" xfId="0" applyFont="1" applyAlignment="1">
      <alignment/>
    </xf>
    <xf numFmtId="0" fontId="59" fillId="0" borderId="10" xfId="0" applyFont="1" applyBorder="1" applyAlignment="1">
      <alignment horizontal="left" vertical="top" wrapText="1"/>
    </xf>
    <xf numFmtId="0" fontId="58" fillId="0" borderId="0" xfId="0" applyFont="1" applyAlignment="1">
      <alignment horizontal="right" vertical="center" wrapText="1"/>
    </xf>
    <xf numFmtId="3" fontId="62" fillId="0" borderId="11" xfId="0" applyNumberFormat="1" applyFont="1" applyBorder="1" applyAlignment="1">
      <alignment horizontal="right" vertical="top" wrapText="1"/>
    </xf>
    <xf numFmtId="3" fontId="58" fillId="35" borderId="10" xfId="0" applyNumberFormat="1" applyFont="1" applyFill="1" applyBorder="1" applyAlignment="1">
      <alignment horizontal="right" vertical="top" wrapText="1"/>
    </xf>
    <xf numFmtId="0" fontId="62" fillId="0" borderId="13" xfId="0" applyFont="1" applyBorder="1" applyAlignment="1">
      <alignment horizontal="right" vertical="top" wrapText="1"/>
    </xf>
    <xf numFmtId="0" fontId="60" fillId="0" borderId="12" xfId="0" applyFont="1" applyBorder="1" applyAlignment="1">
      <alignment horizontal="right" vertical="center" wrapText="1"/>
    </xf>
    <xf numFmtId="0" fontId="59" fillId="0" borderId="14" xfId="0" applyFont="1" applyBorder="1" applyAlignment="1">
      <alignment horizontal="right" vertical="top" wrapText="1"/>
    </xf>
    <xf numFmtId="0" fontId="62" fillId="34" borderId="13" xfId="0" applyFont="1" applyFill="1" applyBorder="1" applyAlignment="1">
      <alignment horizontal="right" vertical="top" wrapText="1"/>
    </xf>
    <xf numFmtId="0" fontId="59" fillId="33" borderId="11" xfId="0" applyFont="1" applyFill="1" applyBorder="1" applyAlignment="1">
      <alignment horizontal="center" vertical="top" wrapText="1"/>
    </xf>
    <xf numFmtId="0" fontId="59" fillId="0" borderId="0" xfId="0" applyFont="1" applyAlignment="1">
      <alignment horizontal="right" vertical="top" wrapText="1"/>
    </xf>
    <xf numFmtId="174" fontId="58" fillId="0" borderId="10" xfId="0" applyNumberFormat="1" applyFont="1" applyBorder="1" applyAlignment="1">
      <alignment horizontal="right" vertical="top" wrapText="1"/>
    </xf>
    <xf numFmtId="0" fontId="62" fillId="0" borderId="11" xfId="0" applyFont="1" applyBorder="1" applyAlignment="1">
      <alignment horizontal="left" vertical="top" wrapText="1"/>
    </xf>
    <xf numFmtId="3" fontId="62" fillId="0" borderId="14" xfId="0" applyNumberFormat="1" applyFont="1" applyBorder="1" applyAlignment="1">
      <alignment horizontal="right" vertical="top" wrapText="1"/>
    </xf>
    <xf numFmtId="176" fontId="58" fillId="0" borderId="14" xfId="0" applyNumberFormat="1" applyFont="1" applyBorder="1" applyAlignment="1">
      <alignment horizontal="right" vertical="top" wrapText="1"/>
    </xf>
    <xf numFmtId="172" fontId="59" fillId="0" borderId="14" xfId="0" applyNumberFormat="1" applyFont="1" applyBorder="1" applyAlignment="1">
      <alignment horizontal="center" vertical="top" wrapText="1"/>
    </xf>
    <xf numFmtId="9" fontId="58" fillId="0" borderId="12" xfId="0" applyNumberFormat="1" applyFont="1" applyBorder="1" applyAlignment="1">
      <alignment horizontal="left" vertical="top" wrapText="1"/>
    </xf>
    <xf numFmtId="9" fontId="58" fillId="0" borderId="13" xfId="0" applyNumberFormat="1" applyFont="1" applyBorder="1" applyAlignment="1">
      <alignment horizontal="left" vertical="top" wrapText="1"/>
    </xf>
    <xf numFmtId="3" fontId="59" fillId="0" borderId="12" xfId="0" applyNumberFormat="1" applyFont="1" applyBorder="1" applyAlignment="1">
      <alignment horizontal="right" vertical="top" wrapText="1"/>
    </xf>
    <xf numFmtId="3" fontId="58" fillId="0" borderId="11" xfId="0" applyNumberFormat="1" applyFont="1" applyBorder="1" applyAlignment="1">
      <alignment horizontal="center" vertical="top" wrapText="1"/>
    </xf>
    <xf numFmtId="0" fontId="61" fillId="0" borderId="12" xfId="0" applyFont="1" applyBorder="1" applyAlignment="1">
      <alignment horizontal="center" vertical="top" wrapText="1"/>
    </xf>
    <xf numFmtId="0" fontId="58" fillId="0" borderId="12" xfId="0" applyFont="1" applyBorder="1" applyAlignment="1">
      <alignment horizontal="center" vertical="top" wrapText="1"/>
    </xf>
    <xf numFmtId="0" fontId="58" fillId="0" borderId="12" xfId="0" applyFont="1" applyBorder="1" applyAlignment="1">
      <alignment wrapText="1"/>
    </xf>
    <xf numFmtId="0" fontId="62" fillId="0" borderId="14" xfId="0" applyFont="1" applyBorder="1" applyAlignment="1">
      <alignment horizontal="left" vertical="top" wrapText="1"/>
    </xf>
    <xf numFmtId="0" fontId="58" fillId="0" borderId="13" xfId="0" applyFont="1" applyBorder="1" applyAlignment="1">
      <alignment horizontal="center" vertical="top" wrapText="1"/>
    </xf>
    <xf numFmtId="0" fontId="62" fillId="0" borderId="0" xfId="0" applyFont="1" applyAlignment="1">
      <alignment horizontal="left" vertical="top" wrapText="1"/>
    </xf>
    <xf numFmtId="0" fontId="58" fillId="0" borderId="10" xfId="0" applyFont="1" applyBorder="1" applyAlignment="1">
      <alignment horizontal="right" vertical="top" wrapText="1"/>
    </xf>
    <xf numFmtId="174" fontId="59" fillId="33" borderId="11" xfId="0" applyNumberFormat="1" applyFont="1" applyFill="1" applyBorder="1" applyAlignment="1">
      <alignment horizontal="center" vertical="center" wrapText="1"/>
    </xf>
    <xf numFmtId="49" fontId="58" fillId="0" borderId="12" xfId="0" applyNumberFormat="1" applyFont="1" applyBorder="1" applyAlignment="1">
      <alignment horizontal="left" vertical="top" wrapText="1"/>
    </xf>
    <xf numFmtId="173" fontId="59" fillId="33" borderId="11" xfId="0" applyNumberFormat="1" applyFont="1" applyFill="1" applyBorder="1" applyAlignment="1">
      <alignment horizontal="center" vertical="top" wrapText="1"/>
    </xf>
    <xf numFmtId="173" fontId="59" fillId="0" borderId="14" xfId="0" applyNumberFormat="1" applyFont="1" applyBorder="1" applyAlignment="1">
      <alignment horizontal="right" vertical="top" wrapText="1"/>
    </xf>
    <xf numFmtId="0" fontId="59" fillId="0" borderId="12" xfId="0" applyFont="1" applyBorder="1" applyAlignment="1">
      <alignment horizontal="left" vertical="top" wrapText="1"/>
    </xf>
    <xf numFmtId="3" fontId="58" fillId="0" borderId="14" xfId="0" applyNumberFormat="1" applyFont="1" applyBorder="1" applyAlignment="1">
      <alignment horizontal="center" vertical="top" wrapText="1"/>
    </xf>
    <xf numFmtId="0" fontId="66" fillId="0" borderId="14" xfId="0" applyFont="1" applyBorder="1" applyAlignment="1">
      <alignment horizontal="left" vertical="top"/>
    </xf>
    <xf numFmtId="0" fontId="59" fillId="0" borderId="13" xfId="0" applyFont="1" applyBorder="1" applyAlignment="1">
      <alignment horizontal="left" vertical="top" wrapText="1"/>
    </xf>
    <xf numFmtId="178" fontId="59" fillId="0" borderId="12" xfId="0" applyNumberFormat="1" applyFont="1" applyBorder="1" applyAlignment="1">
      <alignment horizontal="right" vertical="top" wrapText="1"/>
    </xf>
    <xf numFmtId="0" fontId="58" fillId="0" borderId="0" xfId="0" applyFont="1" applyAlignment="1">
      <alignment horizontal="center" vertical="top" wrapText="1"/>
    </xf>
    <xf numFmtId="0" fontId="58" fillId="0" borderId="0" xfId="0" applyFont="1" applyAlignment="1">
      <alignment horizontal="right" vertical="top" wrapText="1"/>
    </xf>
    <xf numFmtId="0" fontId="58" fillId="36" borderId="0" xfId="56" applyFont="1" applyFill="1" applyAlignment="1">
      <alignment horizontal="left" vertical="top" wrapText="1"/>
      <protection/>
    </xf>
    <xf numFmtId="179" fontId="59" fillId="36" borderId="0" xfId="44" applyNumberFormat="1" applyFont="1" applyFill="1" applyBorder="1" applyAlignment="1">
      <alignment horizontal="right" vertical="top" wrapText="1"/>
    </xf>
    <xf numFmtId="0" fontId="59" fillId="36" borderId="0" xfId="56" applyFont="1" applyFill="1" applyBorder="1" applyAlignment="1">
      <alignment horizontal="left" vertical="top" wrapText="1"/>
      <protection/>
    </xf>
    <xf numFmtId="0" fontId="58" fillId="36" borderId="0" xfId="56" applyFont="1" applyFill="1" applyBorder="1" applyAlignment="1">
      <alignment horizontal="left" vertical="top" wrapText="1"/>
      <protection/>
    </xf>
    <xf numFmtId="0" fontId="59" fillId="36" borderId="0" xfId="56" applyFont="1" applyFill="1" applyBorder="1" applyAlignment="1">
      <alignment horizontal="right" vertical="center" wrapText="1"/>
      <protection/>
    </xf>
    <xf numFmtId="179" fontId="58" fillId="36" borderId="0" xfId="44" applyNumberFormat="1" applyFont="1" applyFill="1" applyBorder="1" applyAlignment="1">
      <alignment horizontal="right" vertical="top" wrapText="1"/>
    </xf>
    <xf numFmtId="0" fontId="59" fillId="36" borderId="0" xfId="56" applyFont="1" applyFill="1" applyBorder="1" applyAlignment="1">
      <alignment horizontal="center" vertical="top" wrapText="1"/>
      <protection/>
    </xf>
    <xf numFmtId="0" fontId="67" fillId="36" borderId="0" xfId="56" applyFont="1" applyFill="1" applyBorder="1" applyAlignment="1">
      <alignment horizontal="center" vertical="center" wrapText="1"/>
      <protection/>
    </xf>
    <xf numFmtId="3" fontId="58" fillId="0" borderId="12" xfId="0" applyNumberFormat="1" applyFont="1" applyBorder="1" applyAlignment="1">
      <alignment horizontal="right" vertical="top" wrapText="1"/>
    </xf>
    <xf numFmtId="172" fontId="68" fillId="0" borderId="12" xfId="0" applyNumberFormat="1" applyFont="1" applyBorder="1" applyAlignment="1">
      <alignment horizontal="center" vertical="top" wrapText="1"/>
    </xf>
    <xf numFmtId="0" fontId="68" fillId="0" borderId="12" xfId="0" applyFont="1" applyBorder="1" applyAlignment="1">
      <alignment horizontal="left" vertical="top" wrapText="1"/>
    </xf>
    <xf numFmtId="0" fontId="68" fillId="0" borderId="12" xfId="0" applyFont="1" applyBorder="1" applyAlignment="1">
      <alignment horizontal="center" vertical="top" wrapText="1"/>
    </xf>
    <xf numFmtId="177" fontId="68" fillId="0" borderId="12" xfId="0" applyNumberFormat="1" applyFont="1" applyBorder="1" applyAlignment="1">
      <alignment horizontal="right" vertical="top" wrapText="1"/>
    </xf>
    <xf numFmtId="3" fontId="68" fillId="0" borderId="12" xfId="0" applyNumberFormat="1" applyFont="1" applyBorder="1" applyAlignment="1">
      <alignment horizontal="right" vertical="top" wrapText="1"/>
    </xf>
    <xf numFmtId="0" fontId="69" fillId="0" borderId="0" xfId="0" applyFont="1" applyAlignment="1">
      <alignment/>
    </xf>
    <xf numFmtId="0" fontId="65" fillId="0" borderId="0" xfId="56" applyFont="1">
      <alignment/>
      <protection/>
    </xf>
    <xf numFmtId="3" fontId="3" fillId="0" borderId="11"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wrapText="1"/>
    </xf>
    <xf numFmtId="3" fontId="4" fillId="0" borderId="10" xfId="0" applyNumberFormat="1" applyFont="1" applyFill="1" applyBorder="1" applyAlignment="1">
      <alignment horizontal="right" vertical="top" wrapText="1"/>
    </xf>
    <xf numFmtId="174" fontId="4" fillId="0" borderId="10" xfId="0" applyNumberFormat="1" applyFont="1" applyFill="1" applyBorder="1" applyAlignment="1">
      <alignment horizontal="right" vertical="top" wrapText="1"/>
    </xf>
    <xf numFmtId="173" fontId="4" fillId="0" borderId="10" xfId="0" applyNumberFormat="1" applyFont="1" applyFill="1" applyBorder="1" applyAlignment="1">
      <alignment horizontal="right" vertical="top" wrapText="1"/>
    </xf>
    <xf numFmtId="172" fontId="4" fillId="0" borderId="12" xfId="0" applyNumberFormat="1" applyFont="1" applyFill="1" applyBorder="1" applyAlignment="1">
      <alignment horizontal="center" vertical="top" wrapText="1"/>
    </xf>
    <xf numFmtId="0" fontId="4" fillId="0" borderId="12" xfId="0"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4" fillId="0" borderId="12" xfId="0" applyFont="1" applyFill="1" applyBorder="1" applyAlignment="1">
      <alignment horizontal="center" vertical="top" wrapText="1"/>
    </xf>
    <xf numFmtId="3" fontId="4" fillId="0" borderId="12" xfId="0" applyNumberFormat="1" applyFont="1" applyFill="1" applyBorder="1" applyAlignment="1">
      <alignment horizontal="right" vertical="top" wrapText="1"/>
    </xf>
    <xf numFmtId="174" fontId="4" fillId="0" borderId="12" xfId="0" applyNumberFormat="1" applyFont="1" applyFill="1" applyBorder="1" applyAlignment="1">
      <alignment horizontal="right" vertical="top" wrapText="1"/>
    </xf>
    <xf numFmtId="173" fontId="4" fillId="0" borderId="12" xfId="0" applyNumberFormat="1" applyFont="1" applyFill="1" applyBorder="1" applyAlignment="1">
      <alignment horizontal="right" vertical="top" wrapText="1"/>
    </xf>
    <xf numFmtId="9" fontId="4" fillId="0" borderId="12" xfId="0" applyNumberFormat="1" applyFont="1" applyFill="1" applyBorder="1" applyAlignment="1">
      <alignment horizontal="left" vertical="top" wrapText="1"/>
    </xf>
    <xf numFmtId="172" fontId="4" fillId="0" borderId="14" xfId="0" applyNumberFormat="1" applyFont="1" applyFill="1" applyBorder="1" applyAlignment="1">
      <alignment horizontal="center"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3" fontId="4" fillId="0" borderId="14" xfId="0" applyNumberFormat="1" applyFont="1" applyFill="1" applyBorder="1" applyAlignment="1">
      <alignment horizontal="right" vertical="top" wrapText="1"/>
    </xf>
    <xf numFmtId="174" fontId="4" fillId="0" borderId="14" xfId="0" applyNumberFormat="1" applyFont="1" applyFill="1" applyBorder="1" applyAlignment="1">
      <alignment horizontal="right" vertical="top" wrapText="1"/>
    </xf>
    <xf numFmtId="173" fontId="4" fillId="0" borderId="14" xfId="0" applyNumberFormat="1" applyFont="1" applyFill="1" applyBorder="1" applyAlignment="1">
      <alignment horizontal="right" vertical="top" wrapText="1"/>
    </xf>
    <xf numFmtId="172"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3" fontId="4" fillId="0" borderId="11" xfId="0" applyNumberFormat="1" applyFont="1" applyFill="1" applyBorder="1" applyAlignment="1">
      <alignment horizontal="right" vertical="top" wrapText="1"/>
    </xf>
    <xf numFmtId="174" fontId="4" fillId="0" borderId="11" xfId="0" applyNumberFormat="1" applyFont="1" applyFill="1" applyBorder="1" applyAlignment="1">
      <alignment horizontal="right" vertical="top" wrapText="1"/>
    </xf>
    <xf numFmtId="173" fontId="4" fillId="0" borderId="11"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69" fillId="0" borderId="0" xfId="0" applyNumberFormat="1" applyFont="1" applyAlignment="1">
      <alignment/>
    </xf>
    <xf numFmtId="49" fontId="58" fillId="36" borderId="0" xfId="56" applyNumberFormat="1" applyFont="1" applyFill="1" applyAlignment="1">
      <alignment horizontal="left" vertical="top" wrapText="1"/>
      <protection/>
    </xf>
    <xf numFmtId="0" fontId="58" fillId="36" borderId="0" xfId="56" applyFont="1" applyFill="1" applyAlignment="1">
      <alignment horizontal="left" vertical="top" wrapText="1"/>
      <protection/>
    </xf>
    <xf numFmtId="0" fontId="58" fillId="36" borderId="0" xfId="56" applyFont="1" applyFill="1" applyAlignment="1" quotePrefix="1">
      <alignment horizontal="left" vertical="top" wrapText="1"/>
      <protection/>
    </xf>
    <xf numFmtId="0" fontId="58" fillId="36" borderId="0" xfId="56" applyFont="1" applyFill="1" applyAlignment="1">
      <alignment horizontal="center" vertical="top" wrapText="1"/>
      <protection/>
    </xf>
    <xf numFmtId="0" fontId="59" fillId="36" borderId="0" xfId="56" applyFont="1" applyFill="1" applyBorder="1" applyAlignment="1">
      <alignment horizontal="center" vertical="top" wrapText="1"/>
      <protection/>
    </xf>
    <xf numFmtId="0" fontId="67" fillId="36" borderId="0" xfId="56" applyFont="1" applyFill="1" applyBorder="1" applyAlignment="1">
      <alignment horizontal="center" vertical="top" wrapText="1"/>
      <protection/>
    </xf>
    <xf numFmtId="0" fontId="67" fillId="36" borderId="0" xfId="56" applyFont="1" applyFill="1" applyAlignment="1">
      <alignment horizontal="left" vertical="top" wrapText="1"/>
      <protection/>
    </xf>
    <xf numFmtId="0" fontId="70" fillId="36" borderId="0" xfId="56" applyFont="1" applyFill="1" applyAlignment="1">
      <alignment horizontal="left" vertical="top" wrapText="1"/>
      <protection/>
    </xf>
    <xf numFmtId="3" fontId="68" fillId="36" borderId="0" xfId="56" applyNumberFormat="1" applyFont="1" applyFill="1" applyBorder="1" applyAlignment="1">
      <alignment horizontal="center" vertical="top" wrapText="1"/>
      <protection/>
    </xf>
    <xf numFmtId="0" fontId="68" fillId="36" borderId="0" xfId="56" applyFont="1" applyFill="1" applyBorder="1" applyAlignment="1">
      <alignment horizontal="center" vertical="top" wrapText="1"/>
      <protection/>
    </xf>
    <xf numFmtId="0" fontId="58" fillId="36" borderId="0" xfId="56" applyFont="1" applyFill="1" applyBorder="1" applyAlignment="1">
      <alignment horizontal="left" vertical="top" wrapText="1"/>
      <protection/>
    </xf>
    <xf numFmtId="0" fontId="59" fillId="36" borderId="0" xfId="56" applyFont="1" applyFill="1" applyBorder="1" applyAlignment="1">
      <alignment horizontal="left" vertical="top" wrapText="1"/>
      <protection/>
    </xf>
    <xf numFmtId="176" fontId="59" fillId="36" borderId="0" xfId="56" applyNumberFormat="1" applyFont="1" applyFill="1" applyBorder="1" applyAlignment="1">
      <alignment horizontal="right" vertical="top" wrapText="1"/>
      <protection/>
    </xf>
    <xf numFmtId="0" fontId="59" fillId="36" borderId="0" xfId="56" applyFont="1" applyFill="1" applyAlignment="1">
      <alignment horizontal="center" vertical="top" wrapText="1"/>
      <protection/>
    </xf>
    <xf numFmtId="0" fontId="71" fillId="36" borderId="0" xfId="56" applyFont="1" applyFill="1" applyAlignment="1">
      <alignment horizontal="center" vertical="top" wrapText="1"/>
      <protection/>
    </xf>
    <xf numFmtId="0" fontId="72" fillId="36" borderId="0" xfId="56" applyFont="1" applyFill="1" applyAlignment="1">
      <alignment horizontal="center" vertical="top" wrapText="1"/>
      <protection/>
    </xf>
    <xf numFmtId="49" fontId="70" fillId="36" borderId="0" xfId="56" applyNumberFormat="1" applyFont="1" applyFill="1" applyAlignment="1">
      <alignment horizontal="center" vertical="top" wrapText="1"/>
      <protection/>
    </xf>
    <xf numFmtId="0" fontId="70" fillId="36" borderId="0" xfId="56" applyFont="1" applyFill="1" applyAlignment="1">
      <alignment horizontal="center" vertical="top" wrapText="1"/>
      <protection/>
    </xf>
    <xf numFmtId="49" fontId="59" fillId="36" borderId="0" xfId="56" applyNumberFormat="1" applyFont="1" applyFill="1" applyAlignment="1">
      <alignment horizontal="center" vertical="top" wrapText="1"/>
      <protection/>
    </xf>
    <xf numFmtId="49" fontId="73" fillId="0" borderId="0" xfId="0" applyNumberFormat="1" applyFont="1" applyAlignment="1">
      <alignment horizontal="center" vertical="top" wrapText="1"/>
    </xf>
    <xf numFmtId="49" fontId="59" fillId="0" borderId="0" xfId="0" applyNumberFormat="1" applyFont="1" applyAlignment="1">
      <alignment horizontal="center" vertical="top" wrapText="1"/>
    </xf>
    <xf numFmtId="0" fontId="68" fillId="0" borderId="0" xfId="0" applyFont="1" applyAlignment="1">
      <alignment horizontal="right" vertical="top" wrapText="1"/>
    </xf>
    <xf numFmtId="0" fontId="70" fillId="0" borderId="0" xfId="0" applyFont="1" applyAlignment="1">
      <alignment horizontal="center" vertical="top" wrapText="1"/>
    </xf>
    <xf numFmtId="0" fontId="62" fillId="0" borderId="11" xfId="0" applyFont="1" applyBorder="1" applyAlignment="1">
      <alignment horizontal="left" vertical="top" wrapText="1"/>
    </xf>
    <xf numFmtId="0" fontId="62" fillId="0" borderId="13" xfId="0" applyFont="1" applyBorder="1" applyAlignment="1">
      <alignment horizontal="left" vertical="top" wrapText="1"/>
    </xf>
    <xf numFmtId="0" fontId="67" fillId="0" borderId="0" xfId="0" applyFont="1" applyAlignment="1">
      <alignment horizontal="center" vertical="top" wrapText="1"/>
    </xf>
    <xf numFmtId="0" fontId="58" fillId="0" borderId="0" xfId="0" applyFont="1" applyAlignment="1">
      <alignment horizontal="center" vertical="top" wrapText="1"/>
    </xf>
    <xf numFmtId="172" fontId="74" fillId="0" borderId="11" xfId="0" applyNumberFormat="1" applyFont="1" applyBorder="1" applyAlignment="1">
      <alignment horizontal="center" vertical="top" wrapText="1"/>
    </xf>
    <xf numFmtId="0" fontId="59" fillId="0" borderId="0" xfId="0" applyFont="1" applyAlignment="1">
      <alignment horizontal="center" vertical="top" wrapText="1"/>
    </xf>
    <xf numFmtId="0" fontId="73" fillId="0" borderId="0" xfId="0" applyFont="1" applyAlignment="1">
      <alignment horizontal="center" vertical="top" wrapText="1"/>
    </xf>
    <xf numFmtId="0" fontId="58" fillId="0" borderId="0" xfId="0" applyFont="1" applyAlignment="1">
      <alignment horizontal="right" vertical="top" wrapText="1"/>
    </xf>
    <xf numFmtId="49" fontId="68" fillId="0" borderId="0" xfId="0" applyNumberFormat="1" applyFont="1" applyAlignment="1">
      <alignment horizontal="center" vertical="top" wrapText="1"/>
    </xf>
    <xf numFmtId="49" fontId="70" fillId="0" borderId="0" xfId="0" applyNumberFormat="1" applyFont="1" applyAlignment="1">
      <alignment horizontal="center" vertical="top" wrapText="1"/>
    </xf>
    <xf numFmtId="172"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75" fillId="33" borderId="11" xfId="0" applyFont="1" applyFill="1" applyBorder="1" applyAlignment="1">
      <alignment horizontal="center" vertical="center"/>
    </xf>
    <xf numFmtId="173"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74" fontId="3" fillId="0" borderId="11" xfId="0" applyNumberFormat="1" applyFont="1" applyFill="1" applyBorder="1" applyAlignment="1">
      <alignment horizontal="center" vertical="center" wrapText="1"/>
    </xf>
    <xf numFmtId="173" fontId="59" fillId="33" borderId="11" xfId="0" applyNumberFormat="1" applyFont="1" applyFill="1" applyBorder="1" applyAlignment="1">
      <alignment horizontal="center" vertical="center" wrapText="1"/>
    </xf>
    <xf numFmtId="172" fontId="59" fillId="33" borderId="11" xfId="0" applyNumberFormat="1" applyFont="1" applyFill="1" applyBorder="1" applyAlignment="1">
      <alignment horizontal="center" vertical="center" wrapText="1"/>
    </xf>
    <xf numFmtId="49" fontId="59" fillId="33" borderId="11" xfId="0" applyNumberFormat="1" applyFont="1" applyFill="1" applyBorder="1" applyAlignment="1">
      <alignment horizontal="center" vertical="center" wrapText="1"/>
    </xf>
    <xf numFmtId="0" fontId="68" fillId="0" borderId="0" xfId="0" applyFont="1" applyAlignment="1">
      <alignment horizontal="center" vertical="top" wrapText="1"/>
    </xf>
    <xf numFmtId="3" fontId="59" fillId="33" borderId="11" xfId="0" applyNumberFormat="1" applyFont="1" applyFill="1" applyBorder="1" applyAlignment="1">
      <alignment horizontal="center" vertical="center" wrapText="1"/>
    </xf>
    <xf numFmtId="0" fontId="59" fillId="0" borderId="13" xfId="0" applyFont="1" applyBorder="1" applyAlignment="1">
      <alignment horizontal="right" vertical="top" wrapText="1"/>
    </xf>
    <xf numFmtId="0" fontId="59" fillId="0" borderId="11" xfId="0" applyFont="1" applyBorder="1" applyAlignment="1">
      <alignment horizontal="right" vertical="top" wrapText="1"/>
    </xf>
    <xf numFmtId="176" fontId="62" fillId="0" borderId="11" xfId="0" applyNumberFormat="1" applyFont="1" applyBorder="1" applyAlignment="1">
      <alignment horizontal="right" vertical="top" wrapText="1"/>
    </xf>
    <xf numFmtId="0" fontId="60" fillId="0" borderId="0" xfId="0" applyFont="1" applyAlignment="1">
      <alignment horizontal="center" vertical="top" wrapText="1"/>
    </xf>
    <xf numFmtId="0" fontId="76" fillId="0" borderId="0" xfId="0" applyFont="1" applyAlignment="1">
      <alignment horizontal="center" vertical="top" wrapText="1"/>
    </xf>
    <xf numFmtId="0" fontId="77" fillId="0" borderId="0" xfId="0" applyFont="1" applyAlignment="1">
      <alignment horizontal="center" vertical="center" wrapText="1"/>
    </xf>
    <xf numFmtId="0" fontId="67" fillId="0" borderId="0" xfId="0" applyFont="1" applyAlignment="1">
      <alignment horizontal="left" vertical="top" wrapText="1"/>
    </xf>
    <xf numFmtId="0" fontId="64" fillId="0" borderId="0" xfId="0" applyFont="1" applyAlignment="1">
      <alignment horizontal="left" vertical="top" wrapText="1"/>
    </xf>
    <xf numFmtId="0" fontId="78" fillId="0" borderId="0" xfId="0" applyFont="1" applyAlignment="1">
      <alignment horizontal="center" vertical="top" wrapText="1"/>
    </xf>
    <xf numFmtId="0" fontId="59" fillId="0" borderId="11" xfId="0" applyFont="1" applyBorder="1" applyAlignment="1">
      <alignment horizontal="left" vertical="top" wrapText="1"/>
    </xf>
    <xf numFmtId="0" fontId="59" fillId="0" borderId="13" xfId="0" applyFont="1" applyBorder="1" applyAlignment="1">
      <alignment horizontal="left" vertical="top" wrapText="1"/>
    </xf>
    <xf numFmtId="174" fontId="59" fillId="33" borderId="11" xfId="0" applyNumberFormat="1" applyFont="1" applyFill="1" applyBorder="1" applyAlignment="1">
      <alignment horizontal="center" vertical="center" wrapText="1"/>
    </xf>
    <xf numFmtId="0" fontId="62" fillId="0" borderId="11" xfId="0" applyFont="1" applyBorder="1" applyAlignment="1">
      <alignment horizontal="right" vertical="top" wrapText="1"/>
    </xf>
    <xf numFmtId="0" fontId="62" fillId="0" borderId="13" xfId="0" applyFont="1" applyBorder="1" applyAlignment="1">
      <alignment horizontal="right" vertical="top" wrapText="1"/>
    </xf>
    <xf numFmtId="0" fontId="58" fillId="0" borderId="0" xfId="0" applyFont="1" applyAlignment="1">
      <alignment horizontal="left" vertical="top" wrapText="1"/>
    </xf>
    <xf numFmtId="0" fontId="59" fillId="0" borderId="0" xfId="0" applyFont="1" applyAlignment="1">
      <alignment horizontal="left" vertical="top" wrapText="1"/>
    </xf>
    <xf numFmtId="0" fontId="68" fillId="0" borderId="0" xfId="0" applyFont="1" applyAlignment="1">
      <alignment horizontal="center" vertical="center" wrapText="1"/>
    </xf>
    <xf numFmtId="0" fontId="59" fillId="0" borderId="0" xfId="0" applyFont="1" applyAlignment="1">
      <alignment horizontal="center" vertical="center" wrapText="1"/>
    </xf>
    <xf numFmtId="172" fontId="79" fillId="0" borderId="10" xfId="0" applyNumberFormat="1" applyFont="1" applyBorder="1" applyAlignment="1">
      <alignment horizontal="center" vertical="top" wrapText="1"/>
    </xf>
    <xf numFmtId="3" fontId="65" fillId="0" borderId="0" xfId="0" applyNumberFormat="1" applyFont="1" applyAlignment="1">
      <alignment/>
    </xf>
    <xf numFmtId="0" fontId="8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8"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7921;%20to&#225;n%20kh&#7843;o%20sat%20x&#227;%20Hi&#7873;n%20Chu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7921;%20to&#225;n%20kh&#7843;o%20sat%20x&#227;%20Nam%20&#272;&#7897;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7921;%20to&#225;n%20kh&#7843;o%20sat%20x&#227;%20Ph&#250;%20Xu&#226;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T%20nam%20do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T%20phu%20xu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 dự toán hạng mục"/>
      <sheetName val="Công trình"/>
      <sheetName val="Nhân công"/>
      <sheetName val="Hao phí vật tư"/>
      <sheetName val="Vật liệu"/>
      <sheetName val="Máy thi công"/>
      <sheetName val="TH dự toán công trình"/>
      <sheetName val="Đơn giá chi tiết"/>
      <sheetName val="Dự thầu"/>
      <sheetName val="TH giá dự thầu"/>
      <sheetName val="Dự phòng trượt giá"/>
      <sheetName val="Dự toán gói thầu xây dựng"/>
      <sheetName val="Dự toán gói thầu thiết bị"/>
      <sheetName val="Tổng mức đầu tư"/>
      <sheetName val="Chi phí thiết bị"/>
      <sheetName val="Hạng mục chung"/>
      <sheetName val="Thuyết minh"/>
      <sheetName val="Bìa ngoài"/>
      <sheetName val="Bìa trong"/>
      <sheetName val="Nháp"/>
      <sheetName val="Cước ô tô"/>
      <sheetName val="Cước ô tô kết hợp"/>
      <sheetName val="Cước bộ"/>
      <sheetName val="Cước sông"/>
      <sheetName val="Lương nhân công"/>
      <sheetName val="Tính giá ca máy"/>
      <sheetName val="Bù giá ca máy"/>
      <sheetName val="Tổng hợp nhiên liệu"/>
      <sheetName val="Thanh toán KL hoàn thành"/>
      <sheetName val="Thanh toán KL phát sinh"/>
      <sheetName val="Tổng hợp VL,NC,M"/>
      <sheetName val="Đơn giá chi tiết rút gọn"/>
      <sheetName val="Đơn giá tổng hợp"/>
      <sheetName val="Tổng hợp phụ lục vữa"/>
      <sheetName val="Vật liệu vận chuyển lên cao"/>
      <sheetName val="Hệ số"/>
    </sheetNames>
    <sheetDataSet>
      <sheetData sheetId="0">
        <row r="28">
          <cell r="D28">
            <v>17938501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 dự toán hạng mục"/>
      <sheetName val="Công trình"/>
      <sheetName val="Nhân công"/>
      <sheetName val="Hao phí vật tư"/>
      <sheetName val="Vật liệu"/>
      <sheetName val="Máy thi công"/>
      <sheetName val="TH dự toán công trình"/>
      <sheetName val="Đơn giá chi tiết"/>
      <sheetName val="Dự thầu"/>
      <sheetName val="TH giá dự thầu"/>
      <sheetName val="Dự phòng trượt giá"/>
      <sheetName val="Dự toán gói thầu xây dựng"/>
      <sheetName val="Dự toán gói thầu thiết bị"/>
      <sheetName val="Tổng mức đầu tư"/>
      <sheetName val="Chi phí thiết bị"/>
      <sheetName val="Hạng mục chung"/>
      <sheetName val="Thuyết minh"/>
      <sheetName val="Bìa ngoài"/>
      <sheetName val="Bìa trong"/>
      <sheetName val="Nháp"/>
      <sheetName val="Cước ô tô"/>
      <sheetName val="Cước ô tô kết hợp"/>
      <sheetName val="Cước bộ"/>
      <sheetName val="Cước sông"/>
      <sheetName val="Lương nhân công"/>
      <sheetName val="Tính giá ca máy"/>
      <sheetName val="Bù giá ca máy"/>
      <sheetName val="Tổng hợp nhiên liệu"/>
      <sheetName val="Thanh toán KL hoàn thành"/>
      <sheetName val="Thanh toán KL phát sinh"/>
      <sheetName val="Tổng hợp VL,NC,M"/>
      <sheetName val="Đơn giá chi tiết rút gọn"/>
      <sheetName val="Đơn giá tổng hợp"/>
      <sheetName val="Tổng hợp phụ lục vữa"/>
      <sheetName val="Vật liệu vận chuyển lên cao"/>
      <sheetName val="Hệ số"/>
    </sheetNames>
    <sheetDataSet>
      <sheetData sheetId="0">
        <row r="28">
          <cell r="D28">
            <v>25117498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 dự toán hạng mục"/>
      <sheetName val="Công trình"/>
      <sheetName val="Nhân công"/>
      <sheetName val="Hao phí vật tư"/>
      <sheetName val="Vật liệu"/>
      <sheetName val="Máy thi công"/>
      <sheetName val="TH dự toán công trình"/>
      <sheetName val="Đơn giá chi tiết"/>
      <sheetName val="Dự thầu"/>
      <sheetName val="TH giá dự thầu"/>
      <sheetName val="Dự phòng trượt giá"/>
      <sheetName val="Dự toán gói thầu xây dựng"/>
      <sheetName val="Dự toán gói thầu thiết bị"/>
      <sheetName val="Tổng mức đầu tư"/>
      <sheetName val="Chi phí thiết bị"/>
      <sheetName val="Hạng mục chung"/>
      <sheetName val="Thuyết minh"/>
      <sheetName val="Bìa ngoài"/>
      <sheetName val="Bìa trong"/>
      <sheetName val="Nháp"/>
      <sheetName val="Cước ô tô"/>
      <sheetName val="Cước ô tô kết hợp"/>
      <sheetName val="Cước bộ"/>
      <sheetName val="Cước sông"/>
      <sheetName val="Lương nhân công"/>
      <sheetName val="Tính giá ca máy"/>
      <sheetName val="Bù giá ca máy"/>
      <sheetName val="Tổng hợp nhiên liệu"/>
      <sheetName val="Thanh toán KL hoàn thành"/>
      <sheetName val="Thanh toán KL phát sinh"/>
      <sheetName val="Tổng hợp VL,NC,M"/>
      <sheetName val="Đơn giá chi tiết rút gọn"/>
      <sheetName val="Đơn giá tổng hợp"/>
      <sheetName val="Tổng hợp phụ lục vữa"/>
      <sheetName val="Vật liệu vận chuyển lên cao"/>
      <sheetName val="Hệ số"/>
    </sheetNames>
    <sheetDataSet>
      <sheetData sheetId="0">
        <row r="28">
          <cell r="D28">
            <v>8847509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H dự toán hạng mục"/>
      <sheetName val="Công trình"/>
      <sheetName val="Nhân công"/>
      <sheetName val="Máy thi công"/>
      <sheetName val="Hao phí vật tư"/>
      <sheetName val="Vật liệu"/>
      <sheetName val="TH dự toán công trình"/>
      <sheetName val="Đơn giá chi tiết"/>
      <sheetName val="Dự thầu"/>
      <sheetName val="TH giá dự thầu"/>
      <sheetName val="Dự phòng trượt giá"/>
      <sheetName val="Dự toán gói thầu xây dựng"/>
      <sheetName val="Dự toán gói thầu thiết bị"/>
      <sheetName val="Tổng mức đầu tư"/>
      <sheetName val="Chi phí thiết bị"/>
      <sheetName val="Hạng mục chung"/>
      <sheetName val="Thuyết minh"/>
      <sheetName val="Bìa ngoài"/>
      <sheetName val="Bìa trong"/>
      <sheetName val="Nháp"/>
      <sheetName val="Cước ô tô"/>
      <sheetName val="Cước ô tô kết hợp"/>
      <sheetName val="Cước bộ"/>
      <sheetName val="Cước sông"/>
      <sheetName val="Lương nhân công"/>
      <sheetName val="Tính giá ca máy"/>
      <sheetName val="Bù giá ca máy"/>
      <sheetName val="Tổng hợp nhiên liệu"/>
      <sheetName val="Thanh toán KL hoàn thành"/>
      <sheetName val="Thanh toán KL phát sinh"/>
      <sheetName val="Tổng hợp VL,NC,M"/>
      <sheetName val="Đơn giá chi tiết rút gọn"/>
      <sheetName val="Đơn giá tổng hợp"/>
      <sheetName val="Tổng hợp phụ lục vữa"/>
      <sheetName val="Vật liệu vận chuyển lên cao"/>
      <sheetName val="Hệ số"/>
    </sheetNames>
    <sheetDataSet>
      <sheetData sheetId="0">
        <row r="25">
          <cell r="D25">
            <v>245301419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H dự toán hạng mục"/>
      <sheetName val="Công trình"/>
      <sheetName val="Nhân công"/>
      <sheetName val="Máy thi công"/>
      <sheetName val="Hao phí vật tư"/>
      <sheetName val="Vật liệu"/>
      <sheetName val="TH dự toán công trình"/>
      <sheetName val="Đơn giá chi tiết"/>
      <sheetName val="Dự thầu"/>
      <sheetName val="TH giá dự thầu"/>
      <sheetName val="Dự phòng trượt giá"/>
      <sheetName val="Dự toán gói thầu xây dựng"/>
      <sheetName val="Dự toán gói thầu thiết bị"/>
      <sheetName val="Tổng mức đầu tư"/>
      <sheetName val="Chi phí thiết bị"/>
      <sheetName val="Hạng mục chung"/>
      <sheetName val="Thuyết minh"/>
      <sheetName val="Bìa ngoài"/>
      <sheetName val="Bìa trong"/>
      <sheetName val="Nháp"/>
      <sheetName val="Cước ô tô"/>
      <sheetName val="Cước ô tô kết hợp"/>
      <sheetName val="Cước bộ"/>
      <sheetName val="Cước sông"/>
      <sheetName val="Lương nhân công"/>
      <sheetName val="Tính giá ca máy"/>
      <sheetName val="Bù giá ca máy"/>
      <sheetName val="Tổng hợp nhiên liệu"/>
      <sheetName val="Thanh toán KL hoàn thành"/>
      <sheetName val="Thanh toán KL phát sinh"/>
      <sheetName val="Tổng hợp VL,NC,M"/>
      <sheetName val="Đơn giá chi tiết rút gọn"/>
      <sheetName val="Đơn giá tổng hợp"/>
      <sheetName val="Tổng hợp phụ lục vữa"/>
      <sheetName val="Vật liệu vận chuyển lên cao"/>
      <sheetName val="Hệ số"/>
    </sheetNames>
    <sheetDataSet>
      <sheetData sheetId="0">
        <row r="25">
          <cell r="D25">
            <v>105815193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O43"/>
  <sheetViews>
    <sheetView showZeros="0" zoomScalePageLayoutView="0" workbookViewId="0" topLeftCell="A4">
      <selection activeCell="A15" sqref="A15:O15"/>
    </sheetView>
  </sheetViews>
  <sheetFormatPr defaultColWidth="9.140625" defaultRowHeight="15"/>
  <cols>
    <col min="1" max="2" width="9.421875" style="125" customWidth="1"/>
    <col min="3" max="3" width="5.28125" style="125" customWidth="1"/>
    <col min="4" max="4" width="17.8515625" style="125" customWidth="1"/>
    <col min="5" max="5" width="1.8515625" style="125" customWidth="1"/>
    <col min="6" max="6" width="1.7109375" style="125" customWidth="1"/>
    <col min="7" max="7" width="25.00390625" style="125" customWidth="1"/>
    <col min="8" max="8" width="9.140625" style="125" customWidth="1"/>
    <col min="9" max="9" width="8.00390625" style="125" customWidth="1"/>
    <col min="10" max="10" width="8.28125" style="125" customWidth="1"/>
    <col min="11" max="11" width="7.8515625" style="125" customWidth="1"/>
    <col min="12" max="12" width="8.7109375" style="125" customWidth="1"/>
    <col min="13" max="13" width="8.28125" style="125" customWidth="1"/>
    <col min="14" max="14" width="7.57421875" style="125" customWidth="1"/>
    <col min="15" max="15" width="8.7109375" style="125" customWidth="1"/>
    <col min="16" max="16384" width="9.140625" style="125" customWidth="1"/>
  </cols>
  <sheetData>
    <row r="1" spans="1:15" ht="18" customHeight="1">
      <c r="A1" s="225" t="s">
        <v>508</v>
      </c>
      <c r="B1" s="225"/>
      <c r="C1" s="225"/>
      <c r="D1" s="225"/>
      <c r="E1" s="225"/>
      <c r="F1" s="225"/>
      <c r="G1" s="225"/>
      <c r="H1" s="225" t="s">
        <v>56</v>
      </c>
      <c r="I1" s="225"/>
      <c r="J1" s="225"/>
      <c r="K1" s="225"/>
      <c r="L1" s="225"/>
      <c r="M1" s="225"/>
      <c r="N1" s="225"/>
      <c r="O1" s="225"/>
    </row>
    <row r="2" spans="1:15" ht="18" customHeight="1">
      <c r="A2" s="225" t="s">
        <v>509</v>
      </c>
      <c r="B2" s="225"/>
      <c r="C2" s="225"/>
      <c r="D2" s="225"/>
      <c r="E2" s="225"/>
      <c r="F2" s="225"/>
      <c r="G2" s="225"/>
      <c r="H2" s="226" t="s">
        <v>143</v>
      </c>
      <c r="I2" s="226"/>
      <c r="J2" s="226"/>
      <c r="K2" s="226"/>
      <c r="L2" s="226"/>
      <c r="M2" s="226"/>
      <c r="N2" s="226"/>
      <c r="O2" s="226"/>
    </row>
    <row r="3" spans="1:15" ht="17.25" customHeight="1">
      <c r="A3" s="230" t="s">
        <v>510</v>
      </c>
      <c r="B3" s="230"/>
      <c r="C3" s="230"/>
      <c r="D3" s="230"/>
      <c r="E3" s="230"/>
      <c r="F3" s="230"/>
      <c r="G3" s="230"/>
      <c r="H3" s="230" t="s">
        <v>510</v>
      </c>
      <c r="I3" s="230"/>
      <c r="J3" s="230"/>
      <c r="K3" s="230"/>
      <c r="L3" s="230"/>
      <c r="M3" s="230"/>
      <c r="N3" s="230"/>
      <c r="O3" s="230"/>
    </row>
    <row r="4" spans="1:15" ht="17.25" customHeight="1">
      <c r="A4" s="163"/>
      <c r="B4" s="163"/>
      <c r="C4" s="163"/>
      <c r="D4" s="163"/>
      <c r="E4" s="163"/>
      <c r="F4" s="163"/>
      <c r="G4" s="163"/>
      <c r="H4" s="163"/>
      <c r="I4" s="163"/>
      <c r="J4" s="163"/>
      <c r="K4" s="163"/>
      <c r="L4" s="163"/>
      <c r="M4" s="163"/>
      <c r="N4" s="163"/>
      <c r="O4" s="163"/>
    </row>
    <row r="5" spans="1:15" ht="28.5" customHeight="1">
      <c r="A5" s="227" t="s">
        <v>80</v>
      </c>
      <c r="B5" s="227"/>
      <c r="C5" s="227"/>
      <c r="D5" s="227"/>
      <c r="E5" s="227"/>
      <c r="F5" s="227"/>
      <c r="G5" s="227"/>
      <c r="H5" s="227"/>
      <c r="I5" s="227"/>
      <c r="J5" s="227"/>
      <c r="K5" s="227"/>
      <c r="L5" s="227"/>
      <c r="M5" s="227"/>
      <c r="N5" s="227"/>
      <c r="O5" s="227"/>
    </row>
    <row r="6" spans="1:15" ht="19.5" customHeight="1">
      <c r="A6" s="228" t="str">
        <f>'Công trình'!A3:W3</f>
        <v>CÔNG TRÌNH: ĐƯỜNG LÂM SINH XÃ HIỀN CHUNG, NAM ĐỘNG, PHÚ XUÂN, HUYỆN QUAN HÓA, TỈNH THANH HÓA</v>
      </c>
      <c r="B6" s="229"/>
      <c r="C6" s="229"/>
      <c r="D6" s="229"/>
      <c r="E6" s="229"/>
      <c r="F6" s="229"/>
      <c r="G6" s="229"/>
      <c r="H6" s="229"/>
      <c r="I6" s="229"/>
      <c r="J6" s="229"/>
      <c r="K6" s="229"/>
      <c r="L6" s="229"/>
      <c r="M6" s="229"/>
      <c r="N6" s="229"/>
      <c r="O6" s="229"/>
    </row>
    <row r="7" spans="1:15" ht="21.75" customHeight="1">
      <c r="A7" s="229"/>
      <c r="B7" s="229"/>
      <c r="C7" s="229"/>
      <c r="D7" s="229"/>
      <c r="E7" s="229"/>
      <c r="F7" s="229"/>
      <c r="G7" s="229"/>
      <c r="H7" s="229"/>
      <c r="I7" s="229"/>
      <c r="J7" s="229"/>
      <c r="K7" s="229"/>
      <c r="L7" s="229"/>
      <c r="M7" s="229"/>
      <c r="N7" s="229"/>
      <c r="O7" s="229"/>
    </row>
    <row r="8" spans="1:15" ht="19.5" customHeight="1">
      <c r="A8" s="218" t="s">
        <v>33</v>
      </c>
      <c r="B8" s="218"/>
      <c r="C8" s="218"/>
      <c r="D8" s="218"/>
      <c r="E8" s="218"/>
      <c r="F8" s="218"/>
      <c r="G8" s="218"/>
      <c r="H8" s="218"/>
      <c r="I8" s="218"/>
      <c r="J8" s="218"/>
      <c r="K8" s="218"/>
      <c r="L8" s="218"/>
      <c r="M8" s="218"/>
      <c r="N8" s="218"/>
      <c r="O8" s="218"/>
    </row>
    <row r="9" spans="1:15" s="178" customFormat="1" ht="21.75" customHeight="1">
      <c r="A9" s="218" t="s">
        <v>33</v>
      </c>
      <c r="B9" s="218"/>
      <c r="C9" s="218"/>
      <c r="D9" s="218"/>
      <c r="E9" s="218"/>
      <c r="F9" s="218"/>
      <c r="G9" s="218"/>
      <c r="H9" s="218"/>
      <c r="I9" s="218"/>
      <c r="J9" s="218"/>
      <c r="K9" s="218"/>
      <c r="L9" s="218"/>
      <c r="M9" s="218"/>
      <c r="N9" s="218"/>
      <c r="O9" s="218"/>
    </row>
    <row r="10" spans="1:15" s="178" customFormat="1" ht="19.5" customHeight="1" hidden="1">
      <c r="A10" s="219" t="s">
        <v>506</v>
      </c>
      <c r="B10" s="219"/>
      <c r="C10" s="219"/>
      <c r="D10" s="219"/>
      <c r="E10" s="219"/>
      <c r="F10" s="219"/>
      <c r="G10" s="219"/>
      <c r="H10" s="219"/>
      <c r="I10" s="219"/>
      <c r="J10" s="219"/>
      <c r="K10" s="219"/>
      <c r="L10" s="219"/>
      <c r="M10" s="219"/>
      <c r="N10" s="219"/>
      <c r="O10" s="219"/>
    </row>
    <row r="11" spans="1:15" s="178" customFormat="1" ht="18" customHeight="1" hidden="1">
      <c r="A11" s="213" t="s">
        <v>511</v>
      </c>
      <c r="B11" s="213"/>
      <c r="C11" s="213"/>
      <c r="D11" s="213"/>
      <c r="E11" s="213"/>
      <c r="F11" s="213"/>
      <c r="G11" s="213"/>
      <c r="H11" s="213"/>
      <c r="I11" s="213"/>
      <c r="J11" s="213"/>
      <c r="K11" s="213"/>
      <c r="L11" s="213"/>
      <c r="M11" s="213"/>
      <c r="N11" s="213"/>
      <c r="O11" s="213"/>
    </row>
    <row r="12" spans="1:15" s="178" customFormat="1" ht="18" customHeight="1" hidden="1">
      <c r="A12" s="213" t="s">
        <v>512</v>
      </c>
      <c r="B12" s="213"/>
      <c r="C12" s="213"/>
      <c r="D12" s="213"/>
      <c r="E12" s="213"/>
      <c r="F12" s="213"/>
      <c r="G12" s="213"/>
      <c r="H12" s="213"/>
      <c r="I12" s="213"/>
      <c r="J12" s="213"/>
      <c r="K12" s="213"/>
      <c r="L12" s="213"/>
      <c r="M12" s="213"/>
      <c r="N12" s="213"/>
      <c r="O12" s="213"/>
    </row>
    <row r="13" spans="1:15" s="178" customFormat="1" ht="32.25" customHeight="1">
      <c r="A13" s="214" t="s">
        <v>513</v>
      </c>
      <c r="B13" s="213"/>
      <c r="C13" s="213"/>
      <c r="D13" s="213"/>
      <c r="E13" s="213"/>
      <c r="F13" s="213"/>
      <c r="G13" s="213"/>
      <c r="H13" s="213"/>
      <c r="I13" s="213"/>
      <c r="J13" s="213"/>
      <c r="K13" s="213"/>
      <c r="L13" s="213"/>
      <c r="M13" s="213"/>
      <c r="N13" s="213"/>
      <c r="O13" s="213"/>
    </row>
    <row r="14" spans="1:15" s="178" customFormat="1" ht="18" customHeight="1">
      <c r="A14" s="214" t="s">
        <v>514</v>
      </c>
      <c r="B14" s="213"/>
      <c r="C14" s="213"/>
      <c r="D14" s="213"/>
      <c r="E14" s="213"/>
      <c r="F14" s="213"/>
      <c r="G14" s="213"/>
      <c r="H14" s="213"/>
      <c r="I14" s="213"/>
      <c r="J14" s="213"/>
      <c r="K14" s="213"/>
      <c r="L14" s="213"/>
      <c r="M14" s="213"/>
      <c r="N14" s="213"/>
      <c r="O14" s="213"/>
    </row>
    <row r="15" spans="1:15" s="178" customFormat="1" ht="18" customHeight="1">
      <c r="A15" s="214" t="s">
        <v>515</v>
      </c>
      <c r="B15" s="213"/>
      <c r="C15" s="213"/>
      <c r="D15" s="213"/>
      <c r="E15" s="213"/>
      <c r="F15" s="213"/>
      <c r="G15" s="213"/>
      <c r="H15" s="213"/>
      <c r="I15" s="213"/>
      <c r="J15" s="213"/>
      <c r="K15" s="213"/>
      <c r="L15" s="213"/>
      <c r="M15" s="213"/>
      <c r="N15" s="213"/>
      <c r="O15" s="213"/>
    </row>
    <row r="16" spans="1:15" s="178" customFormat="1" ht="15">
      <c r="A16" s="214" t="s">
        <v>516</v>
      </c>
      <c r="B16" s="213"/>
      <c r="C16" s="213"/>
      <c r="D16" s="213"/>
      <c r="E16" s="213"/>
      <c r="F16" s="213"/>
      <c r="G16" s="213"/>
      <c r="H16" s="213"/>
      <c r="I16" s="213"/>
      <c r="J16" s="213"/>
      <c r="K16" s="213"/>
      <c r="L16" s="213"/>
      <c r="M16" s="213"/>
      <c r="N16" s="213"/>
      <c r="O16" s="213"/>
    </row>
    <row r="17" spans="1:15" s="178" customFormat="1" ht="18" customHeight="1">
      <c r="A17" s="214" t="s">
        <v>517</v>
      </c>
      <c r="B17" s="213"/>
      <c r="C17" s="213"/>
      <c r="D17" s="213"/>
      <c r="E17" s="213"/>
      <c r="F17" s="213"/>
      <c r="G17" s="213"/>
      <c r="H17" s="213"/>
      <c r="I17" s="213"/>
      <c r="J17" s="213"/>
      <c r="K17" s="213"/>
      <c r="L17" s="213"/>
      <c r="M17" s="213"/>
      <c r="N17" s="213"/>
      <c r="O17" s="213"/>
    </row>
    <row r="18" spans="1:15" s="178" customFormat="1" ht="15" hidden="1">
      <c r="A18" s="213" t="s">
        <v>518</v>
      </c>
      <c r="B18" s="213"/>
      <c r="C18" s="213"/>
      <c r="D18" s="213"/>
      <c r="E18" s="213"/>
      <c r="F18" s="213"/>
      <c r="G18" s="213"/>
      <c r="H18" s="213"/>
      <c r="I18" s="213"/>
      <c r="J18" s="213"/>
      <c r="K18" s="213"/>
      <c r="L18" s="213"/>
      <c r="M18" s="213"/>
      <c r="N18" s="213"/>
      <c r="O18" s="213"/>
    </row>
    <row r="19" spans="1:15" s="178" customFormat="1" ht="15" hidden="1">
      <c r="A19" s="213" t="s">
        <v>518</v>
      </c>
      <c r="B19" s="213"/>
      <c r="C19" s="213"/>
      <c r="D19" s="213"/>
      <c r="E19" s="213"/>
      <c r="F19" s="213"/>
      <c r="G19" s="213"/>
      <c r="H19" s="213"/>
      <c r="I19" s="213"/>
      <c r="J19" s="213"/>
      <c r="K19" s="213"/>
      <c r="L19" s="213"/>
      <c r="M19" s="213"/>
      <c r="N19" s="213"/>
      <c r="O19" s="213"/>
    </row>
    <row r="20" spans="1:15" s="178" customFormat="1" ht="15" hidden="1">
      <c r="A20" s="213" t="s">
        <v>519</v>
      </c>
      <c r="B20" s="213"/>
      <c r="C20" s="213"/>
      <c r="D20" s="213"/>
      <c r="E20" s="213"/>
      <c r="F20" s="213"/>
      <c r="G20" s="213"/>
      <c r="H20" s="213"/>
      <c r="I20" s="213"/>
      <c r="J20" s="213"/>
      <c r="K20" s="213"/>
      <c r="L20" s="213"/>
      <c r="M20" s="213"/>
      <c r="N20" s="213"/>
      <c r="O20" s="213"/>
    </row>
    <row r="21" spans="1:15" s="178" customFormat="1" ht="15">
      <c r="A21" s="214" t="s">
        <v>520</v>
      </c>
      <c r="B21" s="213"/>
      <c r="C21" s="213"/>
      <c r="D21" s="213"/>
      <c r="E21" s="213"/>
      <c r="F21" s="213"/>
      <c r="G21" s="213"/>
      <c r="H21" s="213"/>
      <c r="I21" s="213"/>
      <c r="J21" s="213"/>
      <c r="K21" s="213"/>
      <c r="L21" s="213"/>
      <c r="M21" s="213"/>
      <c r="N21" s="213"/>
      <c r="O21" s="213"/>
    </row>
    <row r="22" spans="1:15" s="178" customFormat="1" ht="18" customHeight="1" hidden="1">
      <c r="A22" s="213" t="s">
        <v>521</v>
      </c>
      <c r="B22" s="213"/>
      <c r="C22" s="213"/>
      <c r="D22" s="213"/>
      <c r="E22" s="213"/>
      <c r="F22" s="213"/>
      <c r="G22" s="213"/>
      <c r="H22" s="213"/>
      <c r="I22" s="213"/>
      <c r="J22" s="213"/>
      <c r="K22" s="213"/>
      <c r="L22" s="213"/>
      <c r="M22" s="213"/>
      <c r="N22" s="213"/>
      <c r="O22" s="213"/>
    </row>
    <row r="23" spans="1:15" s="178" customFormat="1" ht="15">
      <c r="A23" s="214" t="s">
        <v>522</v>
      </c>
      <c r="B23" s="213"/>
      <c r="C23" s="213"/>
      <c r="D23" s="213"/>
      <c r="E23" s="213"/>
      <c r="F23" s="213"/>
      <c r="G23" s="213"/>
      <c r="H23" s="213"/>
      <c r="I23" s="213"/>
      <c r="J23" s="213"/>
      <c r="K23" s="213"/>
      <c r="L23" s="213"/>
      <c r="M23" s="213"/>
      <c r="N23" s="213"/>
      <c r="O23" s="213"/>
    </row>
    <row r="24" spans="1:15" s="178" customFormat="1" ht="15">
      <c r="A24" s="212" t="s">
        <v>523</v>
      </c>
      <c r="B24" s="212"/>
      <c r="C24" s="212"/>
      <c r="D24" s="212"/>
      <c r="E24" s="212"/>
      <c r="F24" s="212"/>
      <c r="G24" s="212"/>
      <c r="H24" s="212"/>
      <c r="I24" s="212"/>
      <c r="J24" s="212"/>
      <c r="K24" s="212"/>
      <c r="L24" s="212"/>
      <c r="M24" s="212"/>
      <c r="N24" s="212"/>
      <c r="O24" s="212"/>
    </row>
    <row r="25" spans="1:15" s="178" customFormat="1" ht="15" customHeight="1" hidden="1">
      <c r="A25" s="213" t="s">
        <v>524</v>
      </c>
      <c r="B25" s="213"/>
      <c r="C25" s="213"/>
      <c r="D25" s="213"/>
      <c r="E25" s="213"/>
      <c r="F25" s="213"/>
      <c r="G25" s="213"/>
      <c r="H25" s="213"/>
      <c r="I25" s="213"/>
      <c r="J25" s="213"/>
      <c r="K25" s="213"/>
      <c r="L25" s="213"/>
      <c r="M25" s="213"/>
      <c r="N25" s="213"/>
      <c r="O25" s="213"/>
    </row>
    <row r="26" spans="1:15" s="178" customFormat="1" ht="15">
      <c r="A26" s="214" t="s">
        <v>538</v>
      </c>
      <c r="B26" s="213"/>
      <c r="C26" s="213"/>
      <c r="D26" s="213"/>
      <c r="E26" s="213"/>
      <c r="F26" s="213"/>
      <c r="G26" s="213"/>
      <c r="H26" s="213"/>
      <c r="I26" s="213"/>
      <c r="J26" s="213"/>
      <c r="K26" s="213"/>
      <c r="L26" s="213"/>
      <c r="M26" s="213"/>
      <c r="N26" s="213"/>
      <c r="O26" s="213"/>
    </row>
    <row r="27" spans="1:15" s="178" customFormat="1" ht="15">
      <c r="A27" s="212" t="s">
        <v>539</v>
      </c>
      <c r="B27" s="212"/>
      <c r="C27" s="212"/>
      <c r="D27" s="212"/>
      <c r="E27" s="212"/>
      <c r="F27" s="212"/>
      <c r="G27" s="212"/>
      <c r="H27" s="212"/>
      <c r="I27" s="212"/>
      <c r="J27" s="212"/>
      <c r="K27" s="212"/>
      <c r="L27" s="212"/>
      <c r="M27" s="212"/>
      <c r="N27" s="212"/>
      <c r="O27" s="212"/>
    </row>
    <row r="28" spans="1:15" s="178" customFormat="1" ht="18" customHeight="1">
      <c r="A28" s="213" t="s">
        <v>455</v>
      </c>
      <c r="B28" s="213"/>
      <c r="C28" s="213"/>
      <c r="D28" s="213"/>
      <c r="E28" s="213"/>
      <c r="F28" s="213"/>
      <c r="G28" s="213"/>
      <c r="H28" s="213"/>
      <c r="I28" s="213"/>
      <c r="J28" s="213"/>
      <c r="K28" s="213"/>
      <c r="L28" s="213"/>
      <c r="M28" s="213"/>
      <c r="N28" s="213"/>
      <c r="O28" s="213"/>
    </row>
    <row r="29" spans="1:15" ht="15">
      <c r="A29" s="223" t="s">
        <v>206</v>
      </c>
      <c r="B29" s="223"/>
      <c r="C29" s="223"/>
      <c r="D29" s="224"/>
      <c r="E29" s="224"/>
      <c r="F29" s="224"/>
      <c r="G29" s="164">
        <f>SUM(G31:G34)</f>
        <v>712935000</v>
      </c>
      <c r="H29" s="165" t="s">
        <v>404</v>
      </c>
      <c r="I29" s="166"/>
      <c r="J29" s="166"/>
      <c r="K29" s="166"/>
      <c r="L29" s="166"/>
      <c r="M29" s="166"/>
      <c r="N29" s="166"/>
      <c r="O29" s="166"/>
    </row>
    <row r="30" spans="1:15" ht="15">
      <c r="A30" s="220" t="str">
        <f>'PHU LỤC '!A30:K30</f>
        <v>Bằng chữ: Bảy trăm ba mươi triệu, năm trăm bảy mươi tư nghìn đồng./.</v>
      </c>
      <c r="B30" s="221"/>
      <c r="C30" s="221"/>
      <c r="D30" s="221"/>
      <c r="E30" s="221"/>
      <c r="F30" s="221"/>
      <c r="G30" s="221"/>
      <c r="H30" s="221"/>
      <c r="I30" s="221"/>
      <c r="J30" s="221"/>
      <c r="K30" s="221"/>
      <c r="L30" s="221"/>
      <c r="M30" s="221"/>
      <c r="N30" s="221"/>
      <c r="O30" s="221"/>
    </row>
    <row r="31" spans="1:15" ht="15">
      <c r="A31" s="165"/>
      <c r="B31" s="167" t="s">
        <v>525</v>
      </c>
      <c r="C31" s="222" t="s">
        <v>526</v>
      </c>
      <c r="D31" s="222"/>
      <c r="E31" s="222"/>
      <c r="F31" s="222"/>
      <c r="G31" s="168">
        <f>'PHU LỤC '!J12</f>
        <v>593193000</v>
      </c>
      <c r="H31" s="166" t="s">
        <v>404</v>
      </c>
      <c r="I31" s="166"/>
      <c r="J31" s="166"/>
      <c r="K31" s="166"/>
      <c r="L31" s="166"/>
      <c r="M31" s="166"/>
      <c r="N31" s="166"/>
      <c r="O31" s="166"/>
    </row>
    <row r="32" spans="1:15" ht="15">
      <c r="A32" s="165"/>
      <c r="B32" s="167" t="s">
        <v>525</v>
      </c>
      <c r="C32" s="222" t="s">
        <v>527</v>
      </c>
      <c r="D32" s="222"/>
      <c r="E32" s="222"/>
      <c r="F32" s="222"/>
      <c r="G32" s="168">
        <f>'PHU LỤC '!J16</f>
        <v>10000000</v>
      </c>
      <c r="H32" s="166" t="s">
        <v>404</v>
      </c>
      <c r="I32" s="166"/>
      <c r="J32" s="166"/>
      <c r="K32" s="166"/>
      <c r="L32" s="166"/>
      <c r="M32" s="166"/>
      <c r="N32" s="166"/>
      <c r="O32" s="166"/>
    </row>
    <row r="33" spans="1:15" ht="15">
      <c r="A33" s="165"/>
      <c r="B33" s="167" t="s">
        <v>525</v>
      </c>
      <c r="C33" s="222" t="s">
        <v>528</v>
      </c>
      <c r="D33" s="222"/>
      <c r="E33" s="222"/>
      <c r="F33" s="222"/>
      <c r="G33" s="168">
        <f>'PHU LỤC '!J17</f>
        <v>108126000</v>
      </c>
      <c r="H33" s="166" t="s">
        <v>404</v>
      </c>
      <c r="I33" s="166"/>
      <c r="J33" s="166"/>
      <c r="K33" s="166"/>
      <c r="L33" s="166"/>
      <c r="M33" s="166"/>
      <c r="N33" s="166"/>
      <c r="O33" s="166"/>
    </row>
    <row r="34" spans="1:15" ht="15">
      <c r="A34" s="165"/>
      <c r="B34" s="167" t="s">
        <v>525</v>
      </c>
      <c r="C34" s="222" t="s">
        <v>529</v>
      </c>
      <c r="D34" s="222"/>
      <c r="E34" s="222"/>
      <c r="F34" s="222"/>
      <c r="G34" s="168">
        <f>'PHU LỤC '!J24</f>
        <v>1616000</v>
      </c>
      <c r="H34" s="166" t="s">
        <v>404</v>
      </c>
      <c r="I34" s="166"/>
      <c r="J34" s="166"/>
      <c r="K34" s="166"/>
      <c r="L34" s="166"/>
      <c r="M34" s="166"/>
      <c r="N34" s="166"/>
      <c r="O34" s="166"/>
    </row>
    <row r="35" spans="1:15" ht="15">
      <c r="A35" s="163"/>
      <c r="B35" s="163"/>
      <c r="C35" s="163"/>
      <c r="D35" s="163"/>
      <c r="E35" s="163"/>
      <c r="F35" s="163"/>
      <c r="G35" s="163"/>
      <c r="H35" s="163"/>
      <c r="I35" s="163"/>
      <c r="J35" s="215" t="s">
        <v>537</v>
      </c>
      <c r="K35" s="215"/>
      <c r="L35" s="215"/>
      <c r="M35" s="215"/>
      <c r="N35" s="215"/>
      <c r="O35" s="215"/>
    </row>
    <row r="36" spans="1:15" ht="15">
      <c r="A36" s="216"/>
      <c r="B36" s="216"/>
      <c r="C36" s="216"/>
      <c r="D36" s="216"/>
      <c r="E36" s="166"/>
      <c r="F36" s="166"/>
      <c r="G36" s="169"/>
      <c r="H36" s="166"/>
      <c r="I36" s="166"/>
      <c r="J36" s="216" t="s">
        <v>299</v>
      </c>
      <c r="K36" s="216"/>
      <c r="L36" s="216"/>
      <c r="M36" s="216"/>
      <c r="N36" s="216"/>
      <c r="O36" s="216"/>
    </row>
    <row r="37" spans="1:15" ht="15">
      <c r="A37" s="166"/>
      <c r="B37" s="166"/>
      <c r="C37" s="166"/>
      <c r="D37" s="166"/>
      <c r="E37" s="166"/>
      <c r="F37" s="166"/>
      <c r="G37" s="166"/>
      <c r="H37" s="166"/>
      <c r="I37" s="166"/>
      <c r="J37" s="166"/>
      <c r="K37" s="166"/>
      <c r="L37" s="166"/>
      <c r="M37" s="166"/>
      <c r="N37" s="166"/>
      <c r="O37" s="166"/>
    </row>
    <row r="38" spans="1:15" ht="15">
      <c r="A38" s="166"/>
      <c r="B38" s="166"/>
      <c r="C38" s="166"/>
      <c r="D38" s="166"/>
      <c r="E38" s="166"/>
      <c r="F38" s="166"/>
      <c r="G38" s="166"/>
      <c r="H38" s="166"/>
      <c r="I38" s="166"/>
      <c r="J38" s="166"/>
      <c r="K38" s="166"/>
      <c r="L38" s="166"/>
      <c r="M38" s="166"/>
      <c r="N38" s="166"/>
      <c r="O38" s="166"/>
    </row>
    <row r="39" spans="1:15" ht="15">
      <c r="A39" s="166"/>
      <c r="B39" s="166"/>
      <c r="C39" s="166"/>
      <c r="D39" s="166"/>
      <c r="E39" s="166"/>
      <c r="F39" s="166"/>
      <c r="G39" s="166"/>
      <c r="H39" s="166"/>
      <c r="I39" s="166"/>
      <c r="J39" s="166"/>
      <c r="K39" s="166"/>
      <c r="L39" s="166"/>
      <c r="M39" s="166"/>
      <c r="N39" s="166"/>
      <c r="O39" s="166"/>
    </row>
    <row r="40" spans="1:15" ht="15">
      <c r="A40" s="166"/>
      <c r="B40" s="166"/>
      <c r="C40" s="166"/>
      <c r="D40" s="166"/>
      <c r="E40" s="166"/>
      <c r="F40" s="166"/>
      <c r="G40" s="166"/>
      <c r="H40" s="166"/>
      <c r="I40" s="166"/>
      <c r="J40" s="166"/>
      <c r="K40" s="166"/>
      <c r="L40" s="166"/>
      <c r="M40" s="166"/>
      <c r="N40" s="166"/>
      <c r="O40" s="166"/>
    </row>
    <row r="41" spans="1:15" ht="18.75">
      <c r="A41" s="166"/>
      <c r="B41" s="166"/>
      <c r="C41" s="166"/>
      <c r="D41" s="166"/>
      <c r="E41" s="166"/>
      <c r="F41" s="166"/>
      <c r="G41" s="170"/>
      <c r="H41" s="166"/>
      <c r="I41" s="166"/>
      <c r="J41" s="217" t="s">
        <v>530</v>
      </c>
      <c r="K41" s="217"/>
      <c r="L41" s="217"/>
      <c r="M41" s="217"/>
      <c r="N41" s="217"/>
      <c r="O41" s="217"/>
    </row>
    <row r="42" spans="1:15" ht="15">
      <c r="A42" s="166"/>
      <c r="B42" s="166"/>
      <c r="C42" s="166"/>
      <c r="D42" s="166"/>
      <c r="E42" s="166"/>
      <c r="F42" s="166"/>
      <c r="G42" s="166"/>
      <c r="H42" s="166"/>
      <c r="I42" s="166"/>
      <c r="J42" s="166"/>
      <c r="K42" s="166"/>
      <c r="L42" s="166"/>
      <c r="M42" s="166"/>
      <c r="N42" s="166"/>
      <c r="O42" s="166"/>
    </row>
    <row r="43" spans="1:15" ht="15">
      <c r="A43" s="166"/>
      <c r="B43" s="166"/>
      <c r="C43" s="166"/>
      <c r="D43" s="166"/>
      <c r="E43" s="166"/>
      <c r="F43" s="166"/>
      <c r="G43" s="166"/>
      <c r="H43" s="166"/>
      <c r="I43" s="166"/>
      <c r="J43" s="166"/>
      <c r="K43" s="166"/>
      <c r="L43" s="166"/>
      <c r="M43" s="166"/>
      <c r="N43" s="166"/>
      <c r="O43" s="166"/>
    </row>
  </sheetData>
  <sheetProtection/>
  <mergeCells count="41">
    <mergeCell ref="A8:O8"/>
    <mergeCell ref="A15:O15"/>
    <mergeCell ref="A16:O16"/>
    <mergeCell ref="A17:O17"/>
    <mergeCell ref="A18:O18"/>
    <mergeCell ref="A25:O25"/>
    <mergeCell ref="H1:O1"/>
    <mergeCell ref="H2:O2"/>
    <mergeCell ref="A5:O5"/>
    <mergeCell ref="A6:O6"/>
    <mergeCell ref="A7:O7"/>
    <mergeCell ref="A1:G1"/>
    <mergeCell ref="A2:G2"/>
    <mergeCell ref="A3:G3"/>
    <mergeCell ref="H3:O3"/>
    <mergeCell ref="A30:O30"/>
    <mergeCell ref="C31:F31"/>
    <mergeCell ref="C32:F32"/>
    <mergeCell ref="C33:F33"/>
    <mergeCell ref="C34:F34"/>
    <mergeCell ref="A29:C29"/>
    <mergeCell ref="D29:F29"/>
    <mergeCell ref="J35:O35"/>
    <mergeCell ref="A36:D36"/>
    <mergeCell ref="J36:O36"/>
    <mergeCell ref="J41:O41"/>
    <mergeCell ref="A9:O9"/>
    <mergeCell ref="A10:O10"/>
    <mergeCell ref="A11:O11"/>
    <mergeCell ref="A12:O12"/>
    <mergeCell ref="A13:O13"/>
    <mergeCell ref="A14:O14"/>
    <mergeCell ref="A27:O27"/>
    <mergeCell ref="A28:O28"/>
    <mergeCell ref="A19:O19"/>
    <mergeCell ref="A20:O20"/>
    <mergeCell ref="A21:O21"/>
    <mergeCell ref="A22:O22"/>
    <mergeCell ref="A23:O23"/>
    <mergeCell ref="A24:O24"/>
    <mergeCell ref="A26:O26"/>
  </mergeCells>
  <printOptions horizontalCentered="1"/>
  <pageMargins left="0.3" right="0.2" top="0.3" bottom="0.2"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55"/>
  <sheetViews>
    <sheetView showZeros="0" zoomScalePageLayoutView="0" workbookViewId="0" topLeftCell="A1">
      <selection activeCell="A1" sqref="A1:J1"/>
    </sheetView>
  </sheetViews>
  <sheetFormatPr defaultColWidth="9.140625" defaultRowHeight="15"/>
  <cols>
    <col min="1" max="1" width="6.57421875" style="125" customWidth="1"/>
    <col min="2" max="2" width="11.57421875" style="125" customWidth="1"/>
    <col min="3" max="3" width="11.140625" style="125" hidden="1" customWidth="1"/>
    <col min="4" max="4" width="12.421875" style="125" customWidth="1"/>
    <col min="5" max="5" width="46.28125" style="125" customWidth="1"/>
    <col min="6" max="6" width="8.57421875" style="125" customWidth="1"/>
    <col min="7" max="7" width="12.8515625" style="125" customWidth="1"/>
    <col min="8" max="8" width="13.8515625" style="125" customWidth="1"/>
    <col min="9" max="9" width="7.57421875" style="125" customWidth="1"/>
    <col min="10" max="10" width="14.57421875" style="125" customWidth="1"/>
    <col min="11" max="16384" width="9.140625" style="125" customWidth="1"/>
  </cols>
  <sheetData>
    <row r="1" spans="1:10" ht="22.5" customHeight="1">
      <c r="A1" s="241" t="s">
        <v>327</v>
      </c>
      <c r="B1" s="241"/>
      <c r="C1" s="241"/>
      <c r="D1" s="241"/>
      <c r="E1" s="241"/>
      <c r="F1" s="241"/>
      <c r="G1" s="241"/>
      <c r="H1" s="241"/>
      <c r="I1" s="241"/>
      <c r="J1" s="241"/>
    </row>
    <row r="2" spans="1:10" ht="19.5" customHeight="1">
      <c r="A2" s="234" t="str">
        <f>'Công trình'!$A$3</f>
        <v>CÔNG TRÌNH: ĐƯỜNG LÂM SINH XÃ HIỀN CHUNG, NAM ĐỘNG, PHÚ XUÂN, HUYỆN QUAN HÓA, TỈNH THANH HÓA</v>
      </c>
      <c r="B2" s="234"/>
      <c r="C2" s="234"/>
      <c r="D2" s="234"/>
      <c r="E2" s="234"/>
      <c r="F2" s="234"/>
      <c r="G2" s="234"/>
      <c r="H2" s="234"/>
      <c r="I2" s="234"/>
      <c r="J2" s="234"/>
    </row>
    <row r="3" spans="1:10" ht="18" customHeight="1">
      <c r="A3" s="240" t="str">
        <f>'Công trình'!$A$4</f>
        <v>HẠNG MỤC: XÃ HIỀN CHUNG</v>
      </c>
      <c r="B3" s="240"/>
      <c r="C3" s="240"/>
      <c r="D3" s="240"/>
      <c r="E3" s="240"/>
      <c r="F3" s="240"/>
      <c r="G3" s="240"/>
      <c r="H3" s="240"/>
      <c r="I3" s="240"/>
      <c r="J3" s="240"/>
    </row>
    <row r="4" spans="1:10" ht="17.25" customHeight="1">
      <c r="A4" s="74"/>
      <c r="B4" s="43"/>
      <c r="C4" s="97"/>
      <c r="D4" s="43"/>
      <c r="E4" s="43"/>
      <c r="F4" s="74"/>
      <c r="G4" s="97"/>
      <c r="H4" s="97"/>
      <c r="I4" s="97"/>
      <c r="J4" s="97"/>
    </row>
    <row r="5" spans="1:10" ht="31.5" customHeight="1">
      <c r="A5" s="7" t="s">
        <v>279</v>
      </c>
      <c r="B5" s="51" t="s">
        <v>36</v>
      </c>
      <c r="C5" s="7" t="s">
        <v>389</v>
      </c>
      <c r="D5" s="7" t="s">
        <v>179</v>
      </c>
      <c r="E5" s="7" t="s">
        <v>231</v>
      </c>
      <c r="F5" s="7" t="s">
        <v>486</v>
      </c>
      <c r="G5" s="7" t="s">
        <v>376</v>
      </c>
      <c r="H5" s="92" t="s">
        <v>111</v>
      </c>
      <c r="I5" s="152" t="s">
        <v>247</v>
      </c>
      <c r="J5" s="92" t="s">
        <v>313</v>
      </c>
    </row>
    <row r="6" spans="1:10" ht="28.5">
      <c r="A6" s="119">
        <f>'Công trình'!$A$7</f>
        <v>1</v>
      </c>
      <c r="B6" s="126" t="str">
        <f>'Công trình'!$C$7</f>
        <v>AB.31123</v>
      </c>
      <c r="C6" s="151"/>
      <c r="D6" s="90"/>
      <c r="E6" s="126" t="str">
        <f>'Công trình'!$D$7</f>
        <v>Đào nền đường bằng máy đào 0,8m3 - Cấp đất III</v>
      </c>
      <c r="F6" s="2" t="str">
        <f>'Công trình'!$E$7</f>
        <v>100m3</v>
      </c>
      <c r="G6" s="151"/>
      <c r="H6" s="86"/>
      <c r="I6" s="136"/>
      <c r="J6" s="86"/>
    </row>
    <row r="7" spans="1:10" ht="15">
      <c r="A7" s="145"/>
      <c r="B7" s="112"/>
      <c r="C7" s="21"/>
      <c r="D7" s="112"/>
      <c r="E7" s="112" t="s">
        <v>59</v>
      </c>
      <c r="F7" s="145"/>
      <c r="G7" s="21"/>
      <c r="H7" s="102"/>
      <c r="I7" s="11"/>
      <c r="J7" s="102">
        <f>ROUND(J9,0)</f>
        <v>806272</v>
      </c>
    </row>
    <row r="8" spans="1:10" ht="15">
      <c r="A8" s="146"/>
      <c r="B8" s="109"/>
      <c r="C8" s="18">
        <v>1</v>
      </c>
      <c r="D8" s="109" t="str">
        <f>'Nhân công'!$B$6</f>
        <v>N0006</v>
      </c>
      <c r="E8" s="109" t="s">
        <v>330</v>
      </c>
      <c r="F8" s="146" t="str">
        <f>'Nhân công'!$H$6</f>
        <v>công</v>
      </c>
      <c r="G8" s="18">
        <f>'Hao phí vật tư'!$H$9*'Hao phí vật tư'!$J$9</f>
        <v>4.12</v>
      </c>
      <c r="H8" s="106">
        <f>'Nhân công'!$N$6</f>
        <v>195697</v>
      </c>
      <c r="I8" s="6">
        <v>1</v>
      </c>
      <c r="J8" s="104">
        <f>ROUND(G8*H8*I8,0)</f>
        <v>806272</v>
      </c>
    </row>
    <row r="9" spans="1:10" ht="15">
      <c r="A9" s="146"/>
      <c r="B9" s="109"/>
      <c r="C9" s="18"/>
      <c r="D9" s="109"/>
      <c r="E9" s="109" t="s">
        <v>401</v>
      </c>
      <c r="F9" s="146"/>
      <c r="G9" s="18"/>
      <c r="H9" s="104"/>
      <c r="I9" s="6">
        <f>'Hệ số'!$C$3</f>
        <v>1</v>
      </c>
      <c r="J9" s="104">
        <f>ROUND((SUM(J8:J8))*'Hệ số'!C3,0)</f>
        <v>806272</v>
      </c>
    </row>
    <row r="10" spans="1:10" ht="15">
      <c r="A10" s="145"/>
      <c r="B10" s="112"/>
      <c r="C10" s="21"/>
      <c r="D10" s="112"/>
      <c r="E10" s="112" t="s">
        <v>192</v>
      </c>
      <c r="F10" s="145"/>
      <c r="G10" s="21"/>
      <c r="H10" s="102"/>
      <c r="I10" s="11"/>
      <c r="J10" s="102">
        <f>ROUND(J13,0)</f>
        <v>1041103</v>
      </c>
    </row>
    <row r="11" spans="1:10" ht="15">
      <c r="A11" s="146"/>
      <c r="B11" s="109"/>
      <c r="C11" s="18">
        <v>3</v>
      </c>
      <c r="D11" s="109" t="str">
        <f>'Máy thi công'!$B$9</f>
        <v>M101.0502</v>
      </c>
      <c r="E11" s="109" t="str">
        <f>" - "&amp;'Máy thi công'!$D$9</f>
        <v> - Máy ủi - công suất: 110 CV</v>
      </c>
      <c r="F11" s="146" t="str">
        <f>'Máy thi công'!$E$9</f>
        <v>ca</v>
      </c>
      <c r="G11" s="18">
        <f>'Hao phí vật tư'!$I$11*'Hao phí vật tư'!$J$11</f>
        <v>0.058</v>
      </c>
      <c r="H11" s="106">
        <f>'Máy thi công'!$N$9</f>
        <v>1664867</v>
      </c>
      <c r="I11" s="6">
        <v>1</v>
      </c>
      <c r="J11" s="104">
        <f>ROUND(G11*H11*I11,0)</f>
        <v>96562</v>
      </c>
    </row>
    <row r="12" spans="1:10" ht="30">
      <c r="A12" s="146"/>
      <c r="B12" s="109"/>
      <c r="C12" s="18">
        <v>2</v>
      </c>
      <c r="D12" s="109" t="str">
        <f>'Máy thi công'!$B$6</f>
        <v>M101.0104</v>
      </c>
      <c r="E12" s="109" t="str">
        <f>" - "&amp;'Máy thi công'!$D$6</f>
        <v> - Máy đào một gầu, bánh xích -  dung tích gầu: 0,80 m3</v>
      </c>
      <c r="F12" s="146" t="str">
        <f>'Máy thi công'!$E$6</f>
        <v>ca</v>
      </c>
      <c r="G12" s="18">
        <f>'Hao phí vật tư'!$I$12*'Hao phí vật tư'!$J$12</f>
        <v>0.446</v>
      </c>
      <c r="H12" s="106">
        <f>'Máy thi công'!$N$6</f>
        <v>2117804</v>
      </c>
      <c r="I12" s="6">
        <v>1</v>
      </c>
      <c r="J12" s="104">
        <f>ROUND(G12*H12*I12,0)</f>
        <v>944541</v>
      </c>
    </row>
    <row r="13" spans="1:10" ht="15">
      <c r="A13" s="146"/>
      <c r="B13" s="109"/>
      <c r="C13" s="18"/>
      <c r="D13" s="109"/>
      <c r="E13" s="109" t="s">
        <v>46</v>
      </c>
      <c r="F13" s="146"/>
      <c r="G13" s="18"/>
      <c r="H13" s="104"/>
      <c r="I13" s="6">
        <f>'Hệ số'!$C$2</f>
        <v>1</v>
      </c>
      <c r="J13" s="104">
        <f>ROUND((SUM(J11:J12))*'Hệ số'!C2,0)</f>
        <v>1041103</v>
      </c>
    </row>
    <row r="14" spans="1:10" ht="15">
      <c r="A14" s="146"/>
      <c r="B14" s="109"/>
      <c r="C14" s="18"/>
      <c r="D14" s="109"/>
      <c r="E14" s="156" t="s">
        <v>494</v>
      </c>
      <c r="F14" s="31" t="s">
        <v>306</v>
      </c>
      <c r="G14" s="18"/>
      <c r="H14" s="104"/>
      <c r="I14" s="6"/>
      <c r="J14" s="143">
        <f>ROUND(0+J7+J10,0)</f>
        <v>1847375</v>
      </c>
    </row>
    <row r="15" spans="1:10" ht="15">
      <c r="A15" s="146"/>
      <c r="B15" s="109"/>
      <c r="C15" s="18"/>
      <c r="D15" s="109"/>
      <c r="E15" s="141" t="s">
        <v>344</v>
      </c>
      <c r="F15" s="146" t="s">
        <v>256</v>
      </c>
      <c r="G15" s="108">
        <f>'Hệ số'!$C$4</f>
        <v>0.062</v>
      </c>
      <c r="H15" s="104"/>
      <c r="I15" s="6"/>
      <c r="J15" s="104">
        <f>ROUND(J14*G15,0)</f>
        <v>114537</v>
      </c>
    </row>
    <row r="16" spans="1:10" ht="30">
      <c r="A16" s="146"/>
      <c r="B16" s="109"/>
      <c r="C16" s="18"/>
      <c r="D16" s="109"/>
      <c r="E16" s="141" t="s">
        <v>212</v>
      </c>
      <c r="F16" s="146" t="s">
        <v>133</v>
      </c>
      <c r="G16" s="108">
        <f>'Hệ số'!$C$6</f>
        <v>0.023</v>
      </c>
      <c r="H16" s="104"/>
      <c r="I16" s="6"/>
      <c r="J16" s="104">
        <f>ROUND(J14*G16,0)</f>
        <v>42490</v>
      </c>
    </row>
    <row r="17" spans="1:10" ht="30">
      <c r="A17" s="146"/>
      <c r="B17" s="109"/>
      <c r="C17" s="18"/>
      <c r="D17" s="109"/>
      <c r="E17" s="141" t="s">
        <v>109</v>
      </c>
      <c r="F17" s="146" t="s">
        <v>215</v>
      </c>
      <c r="G17" s="54">
        <f>'Hệ số'!$C$9</f>
        <v>0.02</v>
      </c>
      <c r="H17" s="104"/>
      <c r="I17" s="6"/>
      <c r="J17" s="104">
        <f>ROUND(J14*G17,0)</f>
        <v>36948</v>
      </c>
    </row>
    <row r="18" spans="1:10" ht="15">
      <c r="A18" s="146"/>
      <c r="B18" s="109"/>
      <c r="C18" s="18"/>
      <c r="D18" s="109"/>
      <c r="E18" s="156" t="s">
        <v>272</v>
      </c>
      <c r="F18" s="31" t="s">
        <v>202</v>
      </c>
      <c r="G18" s="18"/>
      <c r="H18" s="104"/>
      <c r="I18" s="6"/>
      <c r="J18" s="143">
        <f>J15+J16+J17</f>
        <v>193975</v>
      </c>
    </row>
    <row r="19" spans="1:10" ht="30">
      <c r="A19" s="146"/>
      <c r="B19" s="109"/>
      <c r="C19" s="18"/>
      <c r="D19" s="109"/>
      <c r="E19" s="141" t="s">
        <v>438</v>
      </c>
      <c r="F19" s="146" t="s">
        <v>435</v>
      </c>
      <c r="G19" s="54">
        <f>'Hệ số'!$C$8</f>
        <v>0.06</v>
      </c>
      <c r="H19" s="104"/>
      <c r="I19" s="6"/>
      <c r="J19" s="104">
        <f>ROUND((J14+J18)*G19,0)</f>
        <v>122481</v>
      </c>
    </row>
    <row r="20" spans="1:10" ht="15">
      <c r="A20" s="146"/>
      <c r="B20" s="109"/>
      <c r="C20" s="18"/>
      <c r="D20" s="109"/>
      <c r="E20" s="156" t="s">
        <v>446</v>
      </c>
      <c r="F20" s="31" t="s">
        <v>429</v>
      </c>
      <c r="G20" s="18"/>
      <c r="H20" s="104"/>
      <c r="I20" s="6"/>
      <c r="J20" s="143">
        <f>ROUND(J14+J18+J19,0)</f>
        <v>2163831</v>
      </c>
    </row>
    <row r="21" spans="1:10" ht="15">
      <c r="A21" s="146"/>
      <c r="B21" s="109"/>
      <c r="C21" s="18"/>
      <c r="D21" s="109"/>
      <c r="E21" s="141" t="s">
        <v>148</v>
      </c>
      <c r="F21" s="146" t="s">
        <v>17</v>
      </c>
      <c r="G21" s="54">
        <f>'Hệ số'!$C$10</f>
        <v>0.1</v>
      </c>
      <c r="H21" s="104"/>
      <c r="I21" s="6"/>
      <c r="J21" s="104">
        <f>ROUND(J20*G21,0)</f>
        <v>216383</v>
      </c>
    </row>
    <row r="22" spans="1:10" ht="15">
      <c r="A22" s="146"/>
      <c r="B22" s="109"/>
      <c r="C22" s="18"/>
      <c r="D22" s="109"/>
      <c r="E22" s="156" t="s">
        <v>374</v>
      </c>
      <c r="F22" s="31" t="s">
        <v>11</v>
      </c>
      <c r="G22" s="18"/>
      <c r="H22" s="104"/>
      <c r="I22" s="6"/>
      <c r="J22" s="143">
        <f>ROUND(J20+J21,0)</f>
        <v>2380214</v>
      </c>
    </row>
    <row r="23" spans="1:10" ht="15">
      <c r="A23" s="146"/>
      <c r="B23" s="109"/>
      <c r="C23" s="18"/>
      <c r="D23" s="109"/>
      <c r="E23" s="156" t="s">
        <v>405</v>
      </c>
      <c r="F23" s="31"/>
      <c r="G23" s="18"/>
      <c r="H23" s="104"/>
      <c r="I23" s="6"/>
      <c r="J23" s="143">
        <f>ROUND(J22,0)</f>
        <v>2380214</v>
      </c>
    </row>
    <row r="24" spans="1:10" ht="28.5">
      <c r="A24" s="119">
        <f>'Công trình'!$A$9</f>
        <v>2</v>
      </c>
      <c r="B24" s="126" t="str">
        <f>'Công trình'!$C$9</f>
        <v>AB.27113</v>
      </c>
      <c r="C24" s="151"/>
      <c r="D24" s="90"/>
      <c r="E24" s="126" t="str">
        <f>'Công trình'!$D$9</f>
        <v>Đào rãnh bằng máy thi công - Cấp đất III (95%KL)</v>
      </c>
      <c r="F24" s="2" t="str">
        <f>'Công trình'!$E$9</f>
        <v>100m3</v>
      </c>
      <c r="G24" s="151"/>
      <c r="H24" s="86"/>
      <c r="I24" s="136"/>
      <c r="J24" s="86"/>
    </row>
    <row r="25" spans="1:10" ht="15">
      <c r="A25" s="145"/>
      <c r="B25" s="112"/>
      <c r="C25" s="21"/>
      <c r="D25" s="112"/>
      <c r="E25" s="112" t="s">
        <v>59</v>
      </c>
      <c r="F25" s="145"/>
      <c r="G25" s="21"/>
      <c r="H25" s="102"/>
      <c r="I25" s="11"/>
      <c r="J25" s="102">
        <f>ROUND(J27,0)</f>
        <v>1164397</v>
      </c>
    </row>
    <row r="26" spans="1:10" ht="15">
      <c r="A26" s="146"/>
      <c r="B26" s="109"/>
      <c r="C26" s="18">
        <v>1</v>
      </c>
      <c r="D26" s="109" t="str">
        <f>'Nhân công'!$B$6</f>
        <v>N0006</v>
      </c>
      <c r="E26" s="109" t="s">
        <v>330</v>
      </c>
      <c r="F26" s="146" t="str">
        <f>'Nhân công'!$H$6</f>
        <v>công</v>
      </c>
      <c r="G26" s="18">
        <f>'Hao phí vật tư'!$H$15*'Hao phí vật tư'!$J$15</f>
        <v>5.95</v>
      </c>
      <c r="H26" s="106">
        <f>'Nhân công'!$N$6</f>
        <v>195697</v>
      </c>
      <c r="I26" s="6">
        <v>1</v>
      </c>
      <c r="J26" s="104">
        <f>ROUND(G26*H26*I26,0)</f>
        <v>1164397</v>
      </c>
    </row>
    <row r="27" spans="1:10" ht="15">
      <c r="A27" s="146"/>
      <c r="B27" s="109"/>
      <c r="C27" s="18"/>
      <c r="D27" s="109"/>
      <c r="E27" s="109" t="s">
        <v>401</v>
      </c>
      <c r="F27" s="146"/>
      <c r="G27" s="18"/>
      <c r="H27" s="104"/>
      <c r="I27" s="6">
        <f>'Hệ số'!$C$3</f>
        <v>1</v>
      </c>
      <c r="J27" s="104">
        <f>ROUND((SUM(J26:J26))*'Hệ số'!C3,0)</f>
        <v>1164397</v>
      </c>
    </row>
    <row r="28" spans="1:10" ht="15">
      <c r="A28" s="145"/>
      <c r="B28" s="112"/>
      <c r="C28" s="21"/>
      <c r="D28" s="112"/>
      <c r="E28" s="112" t="s">
        <v>192</v>
      </c>
      <c r="F28" s="145"/>
      <c r="G28" s="21"/>
      <c r="H28" s="102"/>
      <c r="I28" s="11"/>
      <c r="J28" s="102">
        <f>ROUND(J30,0)</f>
        <v>1135143</v>
      </c>
    </row>
    <row r="29" spans="1:10" ht="30">
      <c r="A29" s="146"/>
      <c r="B29" s="109"/>
      <c r="C29" s="18">
        <v>2</v>
      </c>
      <c r="D29" s="109" t="str">
        <f>'Máy thi công'!$B$6</f>
        <v>M101.0104</v>
      </c>
      <c r="E29" s="109" t="str">
        <f>" - "&amp;'Máy thi công'!$D$6</f>
        <v> - Máy đào một gầu, bánh xích -  dung tích gầu: 0,80 m3</v>
      </c>
      <c r="F29" s="146" t="str">
        <f>'Máy thi công'!$E$6</f>
        <v>ca</v>
      </c>
      <c r="G29" s="18">
        <f>'Hao phí vật tư'!$I$17*'Hao phí vật tư'!$J$17</f>
        <v>0.536</v>
      </c>
      <c r="H29" s="106">
        <f>'Máy thi công'!$N$6</f>
        <v>2117804</v>
      </c>
      <c r="I29" s="6">
        <v>1</v>
      </c>
      <c r="J29" s="104">
        <f>ROUND(G29*H29*I29,0)</f>
        <v>1135143</v>
      </c>
    </row>
    <row r="30" spans="1:10" ht="15">
      <c r="A30" s="146"/>
      <c r="B30" s="109"/>
      <c r="C30" s="18"/>
      <c r="D30" s="109"/>
      <c r="E30" s="109" t="s">
        <v>46</v>
      </c>
      <c r="F30" s="146"/>
      <c r="G30" s="18"/>
      <c r="H30" s="104"/>
      <c r="I30" s="6">
        <f>'Hệ số'!$C$2</f>
        <v>1</v>
      </c>
      <c r="J30" s="104">
        <f>ROUND((SUM(J29:J29))*'Hệ số'!C2,0)</f>
        <v>1135143</v>
      </c>
    </row>
    <row r="31" spans="1:10" ht="15">
      <c r="A31" s="146"/>
      <c r="B31" s="109"/>
      <c r="C31" s="18"/>
      <c r="D31" s="109"/>
      <c r="E31" s="156" t="s">
        <v>494</v>
      </c>
      <c r="F31" s="31" t="s">
        <v>306</v>
      </c>
      <c r="G31" s="18"/>
      <c r="H31" s="104"/>
      <c r="I31" s="6"/>
      <c r="J31" s="143">
        <f>ROUND(0+J25+J28,0)</f>
        <v>2299540</v>
      </c>
    </row>
    <row r="32" spans="1:10" ht="15">
      <c r="A32" s="146"/>
      <c r="B32" s="109"/>
      <c r="C32" s="18"/>
      <c r="D32" s="109"/>
      <c r="E32" s="141" t="s">
        <v>344</v>
      </c>
      <c r="F32" s="146" t="s">
        <v>256</v>
      </c>
      <c r="G32" s="108">
        <f>'Hệ số'!$C$4</f>
        <v>0.062</v>
      </c>
      <c r="H32" s="104"/>
      <c r="I32" s="6"/>
      <c r="J32" s="104">
        <f>ROUND(J31*G32,0)</f>
        <v>142571</v>
      </c>
    </row>
    <row r="33" spans="1:10" ht="30">
      <c r="A33" s="146"/>
      <c r="B33" s="109"/>
      <c r="C33" s="18"/>
      <c r="D33" s="109"/>
      <c r="E33" s="141" t="s">
        <v>212</v>
      </c>
      <c r="F33" s="146" t="s">
        <v>133</v>
      </c>
      <c r="G33" s="108">
        <f>'Hệ số'!$C$6</f>
        <v>0.023</v>
      </c>
      <c r="H33" s="104"/>
      <c r="I33" s="6"/>
      <c r="J33" s="104">
        <f>ROUND(J31*G33,0)</f>
        <v>52889</v>
      </c>
    </row>
    <row r="34" spans="1:10" ht="30">
      <c r="A34" s="146"/>
      <c r="B34" s="109"/>
      <c r="C34" s="18"/>
      <c r="D34" s="109"/>
      <c r="E34" s="141" t="s">
        <v>109</v>
      </c>
      <c r="F34" s="146" t="s">
        <v>215</v>
      </c>
      <c r="G34" s="54">
        <f>'Hệ số'!$C$9</f>
        <v>0.02</v>
      </c>
      <c r="H34" s="104"/>
      <c r="I34" s="6"/>
      <c r="J34" s="104">
        <f>ROUND(J31*G34,0)</f>
        <v>45991</v>
      </c>
    </row>
    <row r="35" spans="1:10" ht="15">
      <c r="A35" s="146"/>
      <c r="B35" s="109"/>
      <c r="C35" s="18"/>
      <c r="D35" s="109"/>
      <c r="E35" s="156" t="s">
        <v>272</v>
      </c>
      <c r="F35" s="31" t="s">
        <v>202</v>
      </c>
      <c r="G35" s="18"/>
      <c r="H35" s="104"/>
      <c r="I35" s="6"/>
      <c r="J35" s="143">
        <f>J32+J33+J34</f>
        <v>241451</v>
      </c>
    </row>
    <row r="36" spans="1:10" ht="30">
      <c r="A36" s="146"/>
      <c r="B36" s="109"/>
      <c r="C36" s="18"/>
      <c r="D36" s="109"/>
      <c r="E36" s="141" t="s">
        <v>438</v>
      </c>
      <c r="F36" s="146" t="s">
        <v>435</v>
      </c>
      <c r="G36" s="54">
        <f>'Hệ số'!$C$8</f>
        <v>0.06</v>
      </c>
      <c r="H36" s="104"/>
      <c r="I36" s="6"/>
      <c r="J36" s="104">
        <f>ROUND((J31+J35)*G36,0)</f>
        <v>152459</v>
      </c>
    </row>
    <row r="37" spans="1:10" ht="15">
      <c r="A37" s="146"/>
      <c r="B37" s="109"/>
      <c r="C37" s="18"/>
      <c r="D37" s="109"/>
      <c r="E37" s="156" t="s">
        <v>446</v>
      </c>
      <c r="F37" s="31" t="s">
        <v>429</v>
      </c>
      <c r="G37" s="18"/>
      <c r="H37" s="104"/>
      <c r="I37" s="6"/>
      <c r="J37" s="143">
        <f>ROUND(J31+J35+J36,0)</f>
        <v>2693450</v>
      </c>
    </row>
    <row r="38" spans="1:10" ht="15">
      <c r="A38" s="146"/>
      <c r="B38" s="109"/>
      <c r="C38" s="18"/>
      <c r="D38" s="109"/>
      <c r="E38" s="141" t="s">
        <v>148</v>
      </c>
      <c r="F38" s="146" t="s">
        <v>17</v>
      </c>
      <c r="G38" s="54">
        <f>'Hệ số'!$C$10</f>
        <v>0.1</v>
      </c>
      <c r="H38" s="104"/>
      <c r="I38" s="6"/>
      <c r="J38" s="104">
        <f>ROUND(J37*G38,0)</f>
        <v>269345</v>
      </c>
    </row>
    <row r="39" spans="1:10" ht="15">
      <c r="A39" s="146"/>
      <c r="B39" s="109"/>
      <c r="C39" s="18"/>
      <c r="D39" s="109"/>
      <c r="E39" s="156" t="s">
        <v>374</v>
      </c>
      <c r="F39" s="31" t="s">
        <v>11</v>
      </c>
      <c r="G39" s="18"/>
      <c r="H39" s="104"/>
      <c r="I39" s="6"/>
      <c r="J39" s="143">
        <f>ROUND(J37+J38,0)</f>
        <v>2962795</v>
      </c>
    </row>
    <row r="40" spans="1:10" ht="15">
      <c r="A40" s="146"/>
      <c r="B40" s="109"/>
      <c r="C40" s="18"/>
      <c r="D40" s="109"/>
      <c r="E40" s="156" t="s">
        <v>405</v>
      </c>
      <c r="F40" s="31"/>
      <c r="G40" s="18"/>
      <c r="H40" s="104"/>
      <c r="I40" s="6"/>
      <c r="J40" s="143">
        <f>ROUND(J39,0)</f>
        <v>2962795</v>
      </c>
    </row>
    <row r="41" spans="1:10" ht="15">
      <c r="A41" s="119">
        <f>'Công trình'!$A$11</f>
        <v>3</v>
      </c>
      <c r="B41" s="126" t="str">
        <f>'Công trình'!$C$11</f>
        <v>AB.11513</v>
      </c>
      <c r="C41" s="151"/>
      <c r="D41" s="90"/>
      <c r="E41" s="126" t="str">
        <f>'Công trình'!$D$11</f>
        <v>Đào rãnh đất bằng thủ công (3%KL) cấp III</v>
      </c>
      <c r="F41" s="2" t="str">
        <f>'Công trình'!$E$11</f>
        <v>m3</v>
      </c>
      <c r="G41" s="151"/>
      <c r="H41" s="86"/>
      <c r="I41" s="136"/>
      <c r="J41" s="86"/>
    </row>
    <row r="42" spans="1:10" ht="15">
      <c r="A42" s="145"/>
      <c r="B42" s="112"/>
      <c r="C42" s="21"/>
      <c r="D42" s="112"/>
      <c r="E42" s="112" t="s">
        <v>59</v>
      </c>
      <c r="F42" s="145"/>
      <c r="G42" s="21"/>
      <c r="H42" s="102"/>
      <c r="I42" s="11"/>
      <c r="J42" s="102">
        <f>ROUND(J44,0)</f>
        <v>264191</v>
      </c>
    </row>
    <row r="43" spans="1:10" ht="15">
      <c r="A43" s="146"/>
      <c r="B43" s="109"/>
      <c r="C43" s="18">
        <v>1</v>
      </c>
      <c r="D43" s="109" t="str">
        <f>'Nhân công'!$B$6</f>
        <v>N0006</v>
      </c>
      <c r="E43" s="109" t="s">
        <v>330</v>
      </c>
      <c r="F43" s="146" t="str">
        <f>'Nhân công'!$H$6</f>
        <v>công</v>
      </c>
      <c r="G43" s="18">
        <f>'Hao phí vật tư'!$H$20*'Hao phí vật tư'!$J$20</f>
        <v>1.35</v>
      </c>
      <c r="H43" s="106">
        <f>'Nhân công'!$N$6</f>
        <v>195697</v>
      </c>
      <c r="I43" s="6">
        <v>1</v>
      </c>
      <c r="J43" s="104">
        <f>ROUND(G43*H43*I43,0)</f>
        <v>264191</v>
      </c>
    </row>
    <row r="44" spans="1:10" ht="15">
      <c r="A44" s="146"/>
      <c r="B44" s="109"/>
      <c r="C44" s="18"/>
      <c r="D44" s="109"/>
      <c r="E44" s="109" t="s">
        <v>401</v>
      </c>
      <c r="F44" s="146"/>
      <c r="G44" s="18"/>
      <c r="H44" s="104"/>
      <c r="I44" s="6">
        <f>'Hệ số'!$C$3</f>
        <v>1</v>
      </c>
      <c r="J44" s="104">
        <f>ROUND((SUM(J43:J43))*'Hệ số'!C3,0)</f>
        <v>264191</v>
      </c>
    </row>
    <row r="45" spans="1:10" ht="15">
      <c r="A45" s="146"/>
      <c r="B45" s="109"/>
      <c r="C45" s="18"/>
      <c r="D45" s="109"/>
      <c r="E45" s="156" t="s">
        <v>494</v>
      </c>
      <c r="F45" s="31" t="s">
        <v>306</v>
      </c>
      <c r="G45" s="18"/>
      <c r="H45" s="104"/>
      <c r="I45" s="6"/>
      <c r="J45" s="143">
        <f>ROUND(0+J42+0,0)</f>
        <v>264191</v>
      </c>
    </row>
    <row r="46" spans="1:10" ht="15">
      <c r="A46" s="146"/>
      <c r="B46" s="109"/>
      <c r="C46" s="18"/>
      <c r="D46" s="109"/>
      <c r="E46" s="141" t="s">
        <v>344</v>
      </c>
      <c r="F46" s="146" t="s">
        <v>256</v>
      </c>
      <c r="G46" s="108">
        <f>'Hệ số'!$C$4</f>
        <v>0.062</v>
      </c>
      <c r="H46" s="104"/>
      <c r="I46" s="6"/>
      <c r="J46" s="104">
        <f>ROUND(J45*G46,0)</f>
        <v>16380</v>
      </c>
    </row>
    <row r="47" spans="1:10" ht="30">
      <c r="A47" s="146"/>
      <c r="B47" s="109"/>
      <c r="C47" s="18"/>
      <c r="D47" s="109"/>
      <c r="E47" s="141" t="s">
        <v>212</v>
      </c>
      <c r="F47" s="146" t="s">
        <v>133</v>
      </c>
      <c r="G47" s="108">
        <f>'Hệ số'!$C$6</f>
        <v>0.023</v>
      </c>
      <c r="H47" s="104"/>
      <c r="I47" s="6"/>
      <c r="J47" s="104">
        <f>ROUND(J45*G47,0)</f>
        <v>6076</v>
      </c>
    </row>
    <row r="48" spans="1:10" ht="30">
      <c r="A48" s="146"/>
      <c r="B48" s="109"/>
      <c r="C48" s="18"/>
      <c r="D48" s="109"/>
      <c r="E48" s="141" t="s">
        <v>109</v>
      </c>
      <c r="F48" s="146" t="s">
        <v>215</v>
      </c>
      <c r="G48" s="54">
        <f>'Hệ số'!$C$9</f>
        <v>0.02</v>
      </c>
      <c r="H48" s="104"/>
      <c r="I48" s="6"/>
      <c r="J48" s="104">
        <f>ROUND(J45*G48,0)</f>
        <v>5284</v>
      </c>
    </row>
    <row r="49" spans="1:10" ht="15">
      <c r="A49" s="146"/>
      <c r="B49" s="109"/>
      <c r="C49" s="18"/>
      <c r="D49" s="109"/>
      <c r="E49" s="156" t="s">
        <v>272</v>
      </c>
      <c r="F49" s="31" t="s">
        <v>202</v>
      </c>
      <c r="G49" s="18"/>
      <c r="H49" s="104"/>
      <c r="I49" s="6"/>
      <c r="J49" s="143">
        <f>J46+J47+J48</f>
        <v>27740</v>
      </c>
    </row>
    <row r="50" spans="1:10" ht="30">
      <c r="A50" s="146"/>
      <c r="B50" s="109"/>
      <c r="C50" s="18"/>
      <c r="D50" s="109"/>
      <c r="E50" s="141" t="s">
        <v>438</v>
      </c>
      <c r="F50" s="146" t="s">
        <v>435</v>
      </c>
      <c r="G50" s="54">
        <f>'Hệ số'!$C$8</f>
        <v>0.06</v>
      </c>
      <c r="H50" s="104"/>
      <c r="I50" s="6"/>
      <c r="J50" s="104">
        <f>ROUND((J45+J49)*G50,0)</f>
        <v>17516</v>
      </c>
    </row>
    <row r="51" spans="1:10" ht="15">
      <c r="A51" s="146"/>
      <c r="B51" s="109"/>
      <c r="C51" s="18"/>
      <c r="D51" s="109"/>
      <c r="E51" s="156" t="s">
        <v>446</v>
      </c>
      <c r="F51" s="31" t="s">
        <v>429</v>
      </c>
      <c r="G51" s="18"/>
      <c r="H51" s="104"/>
      <c r="I51" s="6"/>
      <c r="J51" s="143">
        <f>ROUND(J45+J49+J50,0)</f>
        <v>309447</v>
      </c>
    </row>
    <row r="52" spans="1:10" ht="15">
      <c r="A52" s="146"/>
      <c r="B52" s="109"/>
      <c r="C52" s="18"/>
      <c r="D52" s="109"/>
      <c r="E52" s="141" t="s">
        <v>148</v>
      </c>
      <c r="F52" s="146" t="s">
        <v>17</v>
      </c>
      <c r="G52" s="54">
        <f>'Hệ số'!$C$10</f>
        <v>0.1</v>
      </c>
      <c r="H52" s="104"/>
      <c r="I52" s="6"/>
      <c r="J52" s="104">
        <f>ROUND(J51*G52,0)</f>
        <v>30945</v>
      </c>
    </row>
    <row r="53" spans="1:10" ht="15">
      <c r="A53" s="146"/>
      <c r="B53" s="109"/>
      <c r="C53" s="18"/>
      <c r="D53" s="109"/>
      <c r="E53" s="156" t="s">
        <v>374</v>
      </c>
      <c r="F53" s="31" t="s">
        <v>11</v>
      </c>
      <c r="G53" s="18"/>
      <c r="H53" s="104"/>
      <c r="I53" s="6"/>
      <c r="J53" s="143">
        <f>ROUND(J51+J52,0)</f>
        <v>340392</v>
      </c>
    </row>
    <row r="54" spans="1:10" ht="15">
      <c r="A54" s="69"/>
      <c r="B54" s="40"/>
      <c r="C54" s="93"/>
      <c r="D54" s="40"/>
      <c r="E54" s="78" t="s">
        <v>405</v>
      </c>
      <c r="F54" s="101"/>
      <c r="G54" s="93"/>
      <c r="H54" s="33"/>
      <c r="I54" s="87"/>
      <c r="J54" s="73">
        <f>ROUND(J53,0)</f>
        <v>340392</v>
      </c>
    </row>
    <row r="55" spans="1:10" ht="17.25" customHeight="1">
      <c r="A55" s="74"/>
      <c r="B55" s="43"/>
      <c r="C55" s="97"/>
      <c r="D55" s="43"/>
      <c r="E55" s="43"/>
      <c r="F55" s="74"/>
      <c r="G55" s="97"/>
      <c r="H55" s="97"/>
      <c r="I55" s="97"/>
      <c r="J55" s="97"/>
    </row>
  </sheetData>
  <sheetProtection/>
  <mergeCells count="3">
    <mergeCell ref="A1:J1"/>
    <mergeCell ref="A2:J2"/>
    <mergeCell ref="A3:J3"/>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1.xml><?xml version="1.0" encoding="utf-8"?>
<worksheet xmlns="http://schemas.openxmlformats.org/spreadsheetml/2006/main" xmlns:r="http://schemas.openxmlformats.org/officeDocument/2006/relationships">
  <dimension ref="A1:H21"/>
  <sheetViews>
    <sheetView showZeros="0" zoomScalePageLayoutView="0" workbookViewId="0" topLeftCell="A1">
      <selection activeCell="A1" sqref="A1:H1"/>
    </sheetView>
  </sheetViews>
  <sheetFormatPr defaultColWidth="9.140625" defaultRowHeight="15"/>
  <cols>
    <col min="1" max="1" width="6.57421875" style="125" customWidth="1"/>
    <col min="2" max="2" width="10.57421875" style="125" customWidth="1"/>
    <col min="3" max="3" width="10.57421875" style="125" hidden="1" customWidth="1"/>
    <col min="4" max="4" width="51.140625" style="125" customWidth="1"/>
    <col min="5" max="5" width="8.57421875" style="125" customWidth="1"/>
    <col min="6" max="6" width="12.8515625" style="125" customWidth="1"/>
    <col min="7" max="7" width="13.8515625" style="125" customWidth="1"/>
    <col min="8" max="8" width="20.00390625" style="125" customWidth="1"/>
    <col min="9" max="16384" width="9.140625" style="125" customWidth="1"/>
  </cols>
  <sheetData>
    <row r="1" spans="1:8" ht="24" customHeight="1">
      <c r="A1" s="241" t="s">
        <v>361</v>
      </c>
      <c r="B1" s="241"/>
      <c r="C1" s="241"/>
      <c r="D1" s="241"/>
      <c r="E1" s="241"/>
      <c r="F1" s="241"/>
      <c r="G1" s="241"/>
      <c r="H1" s="241"/>
    </row>
    <row r="2" spans="1:8" ht="19.5" customHeight="1">
      <c r="A2" s="234" t="str">
        <f>'Công trình'!A3</f>
        <v>CÔNG TRÌNH: ĐƯỜNG LÂM SINH XÃ HIỀN CHUNG, NAM ĐỘNG, PHÚ XUÂN, HUYỆN QUAN HÓA, TỈNH THANH HÓA</v>
      </c>
      <c r="B2" s="234"/>
      <c r="C2" s="234"/>
      <c r="D2" s="234"/>
      <c r="E2" s="234"/>
      <c r="F2" s="234"/>
      <c r="G2" s="234"/>
      <c r="H2" s="234"/>
    </row>
    <row r="3" spans="1:8" ht="18" customHeight="1">
      <c r="A3" s="240" t="str">
        <f>'Công trình'!A4</f>
        <v>HẠNG MỤC: XÃ HIỀN CHUNG</v>
      </c>
      <c r="B3" s="240"/>
      <c r="C3" s="240"/>
      <c r="D3" s="240"/>
      <c r="E3" s="240"/>
      <c r="F3" s="240"/>
      <c r="G3" s="240"/>
      <c r="H3" s="240"/>
    </row>
    <row r="4" spans="1:8" ht="18" customHeight="1">
      <c r="A4" s="74"/>
      <c r="B4" s="43"/>
      <c r="C4" s="43"/>
      <c r="D4" s="43"/>
      <c r="E4" s="74"/>
      <c r="F4" s="97"/>
      <c r="G4" s="97"/>
      <c r="H4" s="97"/>
    </row>
    <row r="5" spans="1:8" ht="27" customHeight="1">
      <c r="A5" s="53" t="s">
        <v>279</v>
      </c>
      <c r="B5" s="51" t="s">
        <v>285</v>
      </c>
      <c r="C5" s="7" t="s">
        <v>493</v>
      </c>
      <c r="D5" s="7" t="s">
        <v>231</v>
      </c>
      <c r="E5" s="7" t="s">
        <v>486</v>
      </c>
      <c r="F5" s="34" t="s">
        <v>73</v>
      </c>
      <c r="G5" s="92" t="s">
        <v>111</v>
      </c>
      <c r="H5" s="92" t="s">
        <v>313</v>
      </c>
    </row>
    <row r="6" spans="1:8" ht="15">
      <c r="A6" s="1">
        <f>'Công trình'!A7</f>
        <v>1</v>
      </c>
      <c r="B6" s="90" t="str">
        <f>'Công trình'!C7</f>
        <v>AB.31123</v>
      </c>
      <c r="C6" s="90"/>
      <c r="D6" s="90" t="str">
        <f>'Công trình'!D7</f>
        <v>Đào nền đường bằng máy đào 0,8m3 - Cấp đất III</v>
      </c>
      <c r="E6" s="119" t="str">
        <f>'Công trình'!E7</f>
        <v>100m3</v>
      </c>
      <c r="F6" s="13">
        <f>'Công trình'!L7</f>
        <v>80.3726</v>
      </c>
      <c r="G6" s="86">
        <f>'Đơn giá chi tiết'!J23</f>
        <v>2380214</v>
      </c>
      <c r="H6" s="86">
        <f>ROUND(F6*G6,0)</f>
        <v>191303988</v>
      </c>
    </row>
    <row r="7" spans="1:8" ht="15">
      <c r="A7" s="30">
        <f>'Công trình'!A9</f>
        <v>2</v>
      </c>
      <c r="B7" s="109" t="str">
        <f>'Công trình'!C9</f>
        <v>AB.27113</v>
      </c>
      <c r="C7" s="109"/>
      <c r="D7" s="109" t="str">
        <f>'Công trình'!D9</f>
        <v>Đào rãnh bằng máy thi công - Cấp đất III (95%KL)</v>
      </c>
      <c r="E7" s="146" t="str">
        <f>'Công trình'!E9</f>
        <v>100m3</v>
      </c>
      <c r="F7" s="42">
        <f>'Công trình'!L9</f>
        <v>3.9</v>
      </c>
      <c r="G7" s="104">
        <f>'Đơn giá chi tiết'!J40</f>
        <v>2962795</v>
      </c>
      <c r="H7" s="104">
        <f>ROUND(F7*G7,0)</f>
        <v>11554901</v>
      </c>
    </row>
    <row r="8" spans="1:8" ht="15">
      <c r="A8" s="100">
        <f>'Công trình'!A11</f>
        <v>3</v>
      </c>
      <c r="B8" s="40" t="str">
        <f>'Công trình'!C11</f>
        <v>AB.11513</v>
      </c>
      <c r="C8" s="40"/>
      <c r="D8" s="40" t="str">
        <f>'Công trình'!D11</f>
        <v>Đào rãnh đất bằng thủ công (3%KL) cấp III</v>
      </c>
      <c r="E8" s="69" t="str">
        <f>'Công trình'!E11</f>
        <v>m3</v>
      </c>
      <c r="F8" s="110">
        <f>'Công trình'!L11</f>
        <v>12.06</v>
      </c>
      <c r="G8" s="33">
        <f>'Đơn giá chi tiết'!J54</f>
        <v>340392</v>
      </c>
      <c r="H8" s="33">
        <f>ROUND(F8*G8,0)</f>
        <v>4105128</v>
      </c>
    </row>
    <row r="9" spans="1:8" ht="18" customHeight="1">
      <c r="A9" s="91"/>
      <c r="B9" s="35"/>
      <c r="C9" s="35"/>
      <c r="D9" s="137" t="s">
        <v>19</v>
      </c>
      <c r="E9" s="64"/>
      <c r="F9" s="105"/>
      <c r="G9" s="19"/>
      <c r="H9" s="128">
        <f>ROUND(SUMIF(C6:C8,"&lt;&gt;1",H6:H8),0)</f>
        <v>206964017</v>
      </c>
    </row>
    <row r="10" spans="1:8" ht="18" customHeight="1">
      <c r="A10" s="91"/>
      <c r="B10" s="35"/>
      <c r="C10" s="35"/>
      <c r="D10" s="137" t="s">
        <v>386</v>
      </c>
      <c r="E10" s="64"/>
      <c r="F10" s="105"/>
      <c r="G10" s="19"/>
      <c r="H10" s="128">
        <f>ROUND(H9,-3)</f>
        <v>206964000</v>
      </c>
    </row>
    <row r="11" spans="1:8" ht="18" customHeight="1">
      <c r="A11" s="239" t="e">
        <f>TienBangChu(H10)</f>
        <v>#NAME?</v>
      </c>
      <c r="B11" s="239"/>
      <c r="C11" s="239"/>
      <c r="D11" s="239"/>
      <c r="E11" s="239"/>
      <c r="F11" s="239"/>
      <c r="G11" s="239"/>
      <c r="H11" s="239"/>
    </row>
    <row r="12" spans="1:8" ht="18" customHeight="1">
      <c r="A12" s="74"/>
      <c r="B12" s="43"/>
      <c r="C12" s="43"/>
      <c r="D12" s="43"/>
      <c r="E12" s="238" t="s">
        <v>112</v>
      </c>
      <c r="F12" s="238"/>
      <c r="G12" s="238"/>
      <c r="H12" s="238"/>
    </row>
    <row r="13" spans="1:8" ht="18" customHeight="1">
      <c r="A13" s="74"/>
      <c r="B13" s="74"/>
      <c r="C13" s="43"/>
      <c r="D13" s="43"/>
      <c r="E13" s="240" t="s">
        <v>460</v>
      </c>
      <c r="F13" s="240"/>
      <c r="G13" s="240"/>
      <c r="H13" s="240"/>
    </row>
    <row r="14" spans="1:8" ht="18" customHeight="1">
      <c r="A14" s="74"/>
      <c r="B14" s="43"/>
      <c r="C14" s="43"/>
      <c r="D14" s="43"/>
      <c r="E14" s="238" t="s">
        <v>392</v>
      </c>
      <c r="F14" s="238"/>
      <c r="G14" s="238"/>
      <c r="H14" s="238"/>
    </row>
    <row r="15" spans="1:8" ht="18" customHeight="1">
      <c r="A15" s="74"/>
      <c r="B15" s="43"/>
      <c r="C15" s="43"/>
      <c r="D15" s="43"/>
      <c r="E15" s="74"/>
      <c r="F15" s="97"/>
      <c r="G15" s="97"/>
      <c r="H15" s="97"/>
    </row>
    <row r="16" spans="1:8" ht="18" customHeight="1">
      <c r="A16" s="74"/>
      <c r="B16" s="43"/>
      <c r="C16" s="43"/>
      <c r="D16" s="43"/>
      <c r="E16" s="74"/>
      <c r="F16" s="97"/>
      <c r="G16" s="97"/>
      <c r="H16" s="97"/>
    </row>
    <row r="17" spans="1:8" ht="18" customHeight="1">
      <c r="A17" s="74"/>
      <c r="B17" s="43"/>
      <c r="C17" s="43"/>
      <c r="D17" s="43"/>
      <c r="E17" s="74"/>
      <c r="F17" s="97"/>
      <c r="G17" s="97"/>
      <c r="H17" s="97"/>
    </row>
    <row r="18" spans="1:8" ht="18" customHeight="1">
      <c r="A18" s="74"/>
      <c r="B18" s="74"/>
      <c r="C18" s="43"/>
      <c r="D18" s="43"/>
      <c r="E18" s="74"/>
      <c r="F18" s="97"/>
      <c r="G18" s="97"/>
      <c r="H18" s="97"/>
    </row>
    <row r="19" spans="1:8" ht="18" customHeight="1">
      <c r="A19" s="74"/>
      <c r="B19" s="74"/>
      <c r="C19" s="43"/>
      <c r="D19" s="43"/>
      <c r="E19" s="74"/>
      <c r="F19" s="97"/>
      <c r="G19" s="97"/>
      <c r="H19" s="97"/>
    </row>
    <row r="20" spans="1:8" ht="18" customHeight="1">
      <c r="A20" s="74"/>
      <c r="B20" s="43"/>
      <c r="C20" s="43"/>
      <c r="D20" s="43"/>
      <c r="E20" s="74"/>
      <c r="F20" s="97"/>
      <c r="G20" s="97"/>
      <c r="H20" s="97"/>
    </row>
    <row r="21" spans="1:8" ht="18" customHeight="1">
      <c r="A21" s="74"/>
      <c r="B21" s="43"/>
      <c r="C21" s="43"/>
      <c r="D21" s="43"/>
      <c r="E21" s="74"/>
      <c r="F21" s="97"/>
      <c r="G21" s="97"/>
      <c r="H21" s="97"/>
    </row>
  </sheetData>
  <sheetProtection/>
  <mergeCells count="7">
    <mergeCell ref="E14:H14"/>
    <mergeCell ref="A1:H1"/>
    <mergeCell ref="A2:H2"/>
    <mergeCell ref="A3:H3"/>
    <mergeCell ref="A11:H11"/>
    <mergeCell ref="E12:H12"/>
    <mergeCell ref="E13:H13"/>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2.xml><?xml version="1.0" encoding="utf-8"?>
<worksheet xmlns="http://schemas.openxmlformats.org/spreadsheetml/2006/main" xmlns:r="http://schemas.openxmlformats.org/officeDocument/2006/relationships">
  <dimension ref="A1:D18"/>
  <sheetViews>
    <sheetView showZeros="0" zoomScalePageLayoutView="0" workbookViewId="0" topLeftCell="A1">
      <selection activeCell="A1" sqref="A1:D1"/>
    </sheetView>
  </sheetViews>
  <sheetFormatPr defaultColWidth="9.140625" defaultRowHeight="15"/>
  <cols>
    <col min="1" max="1" width="6.57421875" style="125" customWidth="1"/>
    <col min="2" max="2" width="60.57421875" style="125" customWidth="1"/>
    <col min="3" max="3" width="39.57421875" style="125" customWidth="1"/>
    <col min="4" max="4" width="19.28125" style="125" customWidth="1"/>
    <col min="5" max="16384" width="9.140625" style="125" customWidth="1"/>
  </cols>
  <sheetData>
    <row r="1" spans="1:4" ht="22.5" customHeight="1">
      <c r="A1" s="241" t="s">
        <v>130</v>
      </c>
      <c r="B1" s="241"/>
      <c r="C1" s="241"/>
      <c r="D1" s="241"/>
    </row>
    <row r="2" spans="1:4" ht="19.5" customHeight="1">
      <c r="A2" s="234" t="str">
        <f>'Công trình'!A3</f>
        <v>CÔNG TRÌNH: ĐƯỜNG LÂM SINH XÃ HIỀN CHUNG, NAM ĐỘNG, PHÚ XUÂN, HUYỆN QUAN HÓA, TỈNH THANH HÓA</v>
      </c>
      <c r="B2" s="234"/>
      <c r="C2" s="234"/>
      <c r="D2" s="234"/>
    </row>
    <row r="3" spans="1:4" ht="17.25" customHeight="1">
      <c r="A3" s="74"/>
      <c r="B3" s="43"/>
      <c r="C3" s="74"/>
      <c r="D3" s="97"/>
    </row>
    <row r="4" spans="1:4" ht="18.75" customHeight="1">
      <c r="A4" s="53" t="s">
        <v>279</v>
      </c>
      <c r="B4" s="7" t="s">
        <v>48</v>
      </c>
      <c r="C4" s="7" t="s">
        <v>101</v>
      </c>
      <c r="D4" s="92" t="s">
        <v>488</v>
      </c>
    </row>
    <row r="5" spans="1:4" ht="15">
      <c r="A5" s="1">
        <v>1</v>
      </c>
      <c r="B5" s="90" t="s">
        <v>110</v>
      </c>
      <c r="C5" s="119" t="s">
        <v>340</v>
      </c>
      <c r="D5" s="86">
        <f>'Dự thầu'!H9*1</f>
        <v>206964017</v>
      </c>
    </row>
    <row r="6" spans="1:4" ht="18" customHeight="1">
      <c r="A6" s="91"/>
      <c r="B6" s="95" t="s">
        <v>19</v>
      </c>
      <c r="C6" s="64"/>
      <c r="D6" s="61">
        <f>SUM(D5:D5)</f>
        <v>206964017</v>
      </c>
    </row>
    <row r="7" spans="1:4" ht="18" customHeight="1">
      <c r="A7" s="91"/>
      <c r="B7" s="95" t="s">
        <v>386</v>
      </c>
      <c r="C7" s="64"/>
      <c r="D7" s="61">
        <f>ROUND(D6,-3)</f>
        <v>206964000</v>
      </c>
    </row>
    <row r="8" spans="1:4" ht="18.75" customHeight="1">
      <c r="A8" s="239" t="e">
        <f>TienBangChu(D7)</f>
        <v>#NAME?</v>
      </c>
      <c r="B8" s="239"/>
      <c r="C8" s="239"/>
      <c r="D8" s="239"/>
    </row>
    <row r="9" spans="1:4" ht="18" customHeight="1">
      <c r="A9" s="74"/>
      <c r="B9" s="43"/>
      <c r="C9" s="238" t="s">
        <v>112</v>
      </c>
      <c r="D9" s="238"/>
    </row>
    <row r="10" spans="1:4" ht="18" customHeight="1">
      <c r="A10" s="74"/>
      <c r="B10" s="74"/>
      <c r="C10" s="240" t="s">
        <v>460</v>
      </c>
      <c r="D10" s="240"/>
    </row>
    <row r="11" spans="1:4" ht="18" customHeight="1">
      <c r="A11" s="74"/>
      <c r="B11" s="43"/>
      <c r="C11" s="238" t="s">
        <v>392</v>
      </c>
      <c r="D11" s="238"/>
    </row>
    <row r="12" spans="1:4" ht="18" customHeight="1">
      <c r="A12" s="74"/>
      <c r="B12" s="43"/>
      <c r="C12" s="74"/>
      <c r="D12" s="97"/>
    </row>
    <row r="13" spans="1:4" ht="18" customHeight="1">
      <c r="A13" s="74"/>
      <c r="B13" s="43"/>
      <c r="C13" s="74"/>
      <c r="D13" s="97"/>
    </row>
    <row r="14" spans="1:4" ht="18" customHeight="1">
      <c r="A14" s="74"/>
      <c r="B14" s="43"/>
      <c r="C14" s="74"/>
      <c r="D14" s="97"/>
    </row>
    <row r="15" spans="1:4" ht="18" customHeight="1">
      <c r="A15" s="74"/>
      <c r="B15" s="74"/>
      <c r="C15" s="74"/>
      <c r="D15" s="97"/>
    </row>
    <row r="16" spans="1:4" ht="18" customHeight="1">
      <c r="A16" s="74"/>
      <c r="B16" s="74"/>
      <c r="C16" s="74"/>
      <c r="D16" s="97"/>
    </row>
    <row r="17" spans="1:4" ht="18" customHeight="1">
      <c r="A17" s="74"/>
      <c r="B17" s="43"/>
      <c r="C17" s="74"/>
      <c r="D17" s="97"/>
    </row>
    <row r="18" spans="1:4" ht="17.25" customHeight="1">
      <c r="A18" s="74"/>
      <c r="B18" s="43"/>
      <c r="C18" s="74"/>
      <c r="D18" s="97"/>
    </row>
  </sheetData>
  <sheetProtection/>
  <mergeCells count="6">
    <mergeCell ref="A1:D1"/>
    <mergeCell ref="A2:D2"/>
    <mergeCell ref="A8:D8"/>
    <mergeCell ref="C9:D9"/>
    <mergeCell ref="C10:D10"/>
    <mergeCell ref="C11:D11"/>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3.xml><?xml version="1.0" encoding="utf-8"?>
<worksheet xmlns="http://schemas.openxmlformats.org/spreadsheetml/2006/main" xmlns:r="http://schemas.openxmlformats.org/officeDocument/2006/relationships">
  <dimension ref="A1:R23"/>
  <sheetViews>
    <sheetView showZeros="0" zoomScalePageLayoutView="0" workbookViewId="0" topLeftCell="A1">
      <selection activeCell="A1" sqref="A1:I1"/>
    </sheetView>
  </sheetViews>
  <sheetFormatPr defaultColWidth="9.140625" defaultRowHeight="15"/>
  <cols>
    <col min="1" max="1" width="6.28125" style="125" customWidth="1"/>
    <col min="2" max="2" width="31.28125" style="125" customWidth="1"/>
    <col min="3" max="3" width="21.28125" style="125" customWidth="1"/>
    <col min="4" max="8" width="14.421875" style="125" customWidth="1"/>
    <col min="9" max="18" width="14.421875" style="125" hidden="1" customWidth="1"/>
    <col min="19" max="16384" width="9.140625" style="125" customWidth="1"/>
  </cols>
  <sheetData>
    <row r="1" spans="1:18" ht="22.5" customHeight="1">
      <c r="A1" s="241" t="s">
        <v>189</v>
      </c>
      <c r="B1" s="241"/>
      <c r="C1" s="241"/>
      <c r="D1" s="241"/>
      <c r="E1" s="241"/>
      <c r="F1" s="241"/>
      <c r="G1" s="241"/>
      <c r="H1" s="241"/>
      <c r="I1" s="241"/>
      <c r="J1" s="97"/>
      <c r="K1" s="97"/>
      <c r="L1" s="97"/>
      <c r="M1" s="97"/>
      <c r="N1" s="97"/>
      <c r="O1" s="97"/>
      <c r="P1" s="97"/>
      <c r="Q1" s="97"/>
      <c r="R1" s="97"/>
    </row>
    <row r="2" spans="1:18" ht="19.5" customHeight="1">
      <c r="A2" s="234" t="str">
        <f>'Công trình'!A3</f>
        <v>CÔNG TRÌNH: ĐƯỜNG LÂM SINH XÃ HIỀN CHUNG, NAM ĐỘNG, PHÚ XUÂN, HUYỆN QUAN HÓA, TỈNH THANH HÓA</v>
      </c>
      <c r="B2" s="234"/>
      <c r="C2" s="234"/>
      <c r="D2" s="234"/>
      <c r="E2" s="234"/>
      <c r="F2" s="234"/>
      <c r="G2" s="234"/>
      <c r="H2" s="234"/>
      <c r="I2" s="234"/>
      <c r="J2" s="97"/>
      <c r="K2" s="97"/>
      <c r="L2" s="97"/>
      <c r="M2" s="97"/>
      <c r="N2" s="97"/>
      <c r="O2" s="97"/>
      <c r="P2" s="97"/>
      <c r="Q2" s="97"/>
      <c r="R2" s="97"/>
    </row>
    <row r="3" spans="1:18" ht="16.5" customHeight="1">
      <c r="A3" s="74"/>
      <c r="B3" s="43"/>
      <c r="C3" s="43"/>
      <c r="D3" s="97"/>
      <c r="E3" s="97"/>
      <c r="F3" s="97"/>
      <c r="G3" s="97"/>
      <c r="H3" s="97"/>
      <c r="I3" s="97"/>
      <c r="J3" s="97"/>
      <c r="K3" s="97"/>
      <c r="L3" s="97"/>
      <c r="M3" s="97"/>
      <c r="N3" s="97"/>
      <c r="O3" s="97"/>
      <c r="P3" s="97"/>
      <c r="Q3" s="97"/>
      <c r="R3" s="97"/>
    </row>
    <row r="4" spans="1:18" ht="18.75" customHeight="1">
      <c r="A4" s="74"/>
      <c r="B4" s="259" t="s">
        <v>39</v>
      </c>
      <c r="C4" s="259"/>
      <c r="D4" s="260" t="e">
        <f>'PHU LỤC '!#REF!+'PHU LỤC '!J12+'PHU LỤC '!#REF!+'PHU LỤC '!J16+'PHU LỤC '!J17+'PHU LỤC '!J24</f>
        <v>#REF!</v>
      </c>
      <c r="E4" s="260"/>
      <c r="F4" s="260"/>
      <c r="G4" s="97"/>
      <c r="H4" s="97"/>
      <c r="I4" s="97"/>
      <c r="J4" s="97"/>
      <c r="K4" s="97"/>
      <c r="L4" s="97"/>
      <c r="M4" s="97"/>
      <c r="N4" s="97"/>
      <c r="O4" s="97"/>
      <c r="P4" s="97"/>
      <c r="Q4" s="97"/>
      <c r="R4" s="97"/>
    </row>
    <row r="5" spans="1:18" ht="18" customHeight="1">
      <c r="A5" s="74"/>
      <c r="B5" s="258" t="s">
        <v>323</v>
      </c>
      <c r="C5" s="258"/>
      <c r="D5" s="133">
        <v>2012</v>
      </c>
      <c r="E5" s="65" t="s">
        <v>149</v>
      </c>
      <c r="F5" s="133">
        <v>2015</v>
      </c>
      <c r="G5" s="97"/>
      <c r="H5" s="97"/>
      <c r="I5" s="97"/>
      <c r="J5" s="97"/>
      <c r="K5" s="97"/>
      <c r="L5" s="97"/>
      <c r="M5" s="97"/>
      <c r="N5" s="97"/>
      <c r="O5" s="97"/>
      <c r="P5" s="97"/>
      <c r="Q5" s="97"/>
      <c r="R5" s="97"/>
    </row>
    <row r="6" spans="1:18" ht="18" customHeight="1">
      <c r="A6" s="74"/>
      <c r="B6" s="258" t="s">
        <v>424</v>
      </c>
      <c r="C6" s="258"/>
      <c r="D6" s="133">
        <v>2016</v>
      </c>
      <c r="E6" s="65" t="s">
        <v>149</v>
      </c>
      <c r="F6" s="133">
        <v>2020</v>
      </c>
      <c r="G6" s="97"/>
      <c r="H6" s="97"/>
      <c r="I6" s="97"/>
      <c r="J6" s="97"/>
      <c r="K6" s="97"/>
      <c r="L6" s="97"/>
      <c r="M6" s="97"/>
      <c r="N6" s="97"/>
      <c r="O6" s="97"/>
      <c r="P6" s="97"/>
      <c r="Q6" s="97"/>
      <c r="R6" s="97"/>
    </row>
    <row r="7" spans="1:18" ht="18" customHeight="1">
      <c r="A7" s="74"/>
      <c r="B7" s="258" t="s">
        <v>368</v>
      </c>
      <c r="C7" s="258"/>
      <c r="D7" s="130">
        <v>0</v>
      </c>
      <c r="E7" s="130"/>
      <c r="F7" s="130"/>
      <c r="G7" s="97"/>
      <c r="H7" s="97"/>
      <c r="I7" s="97"/>
      <c r="J7" s="97"/>
      <c r="K7" s="97"/>
      <c r="L7" s="97"/>
      <c r="M7" s="97"/>
      <c r="N7" s="97"/>
      <c r="O7" s="97"/>
      <c r="P7" s="97"/>
      <c r="Q7" s="97"/>
      <c r="R7" s="97"/>
    </row>
    <row r="8" spans="1:18" ht="16.5" customHeight="1">
      <c r="A8" s="74"/>
      <c r="B8" s="43"/>
      <c r="C8" s="43"/>
      <c r="D8" s="97"/>
      <c r="E8" s="97"/>
      <c r="F8" s="97"/>
      <c r="G8" s="97"/>
      <c r="H8" s="97"/>
      <c r="I8" s="97"/>
      <c r="J8" s="97"/>
      <c r="K8" s="97"/>
      <c r="L8" s="97"/>
      <c r="M8" s="97"/>
      <c r="N8" s="97"/>
      <c r="O8" s="97"/>
      <c r="P8" s="97"/>
      <c r="Q8" s="97"/>
      <c r="R8" s="97"/>
    </row>
    <row r="9" spans="1:18" ht="18.75" customHeight="1">
      <c r="A9" s="248" t="s">
        <v>279</v>
      </c>
      <c r="B9" s="248" t="s">
        <v>482</v>
      </c>
      <c r="C9" s="248" t="s">
        <v>452</v>
      </c>
      <c r="D9" s="248" t="s">
        <v>323</v>
      </c>
      <c r="E9" s="248"/>
      <c r="F9" s="248"/>
      <c r="G9" s="248"/>
      <c r="H9" s="97"/>
      <c r="I9" s="97"/>
      <c r="J9" s="97"/>
      <c r="K9" s="97"/>
      <c r="L9" s="97"/>
      <c r="M9" s="97"/>
      <c r="N9" s="97"/>
      <c r="O9" s="97"/>
      <c r="P9" s="97"/>
      <c r="Q9" s="97"/>
      <c r="R9" s="97"/>
    </row>
    <row r="10" spans="1:18" ht="18" customHeight="1">
      <c r="A10" s="248"/>
      <c r="B10" s="248"/>
      <c r="C10" s="248"/>
      <c r="D10" s="96">
        <v>2012</v>
      </c>
      <c r="E10" s="96">
        <v>2013</v>
      </c>
      <c r="F10" s="96">
        <v>2014</v>
      </c>
      <c r="G10" s="96">
        <v>2015</v>
      </c>
      <c r="H10" s="103"/>
      <c r="I10" s="103"/>
      <c r="J10" s="103"/>
      <c r="K10" s="103"/>
      <c r="L10" s="103"/>
      <c r="M10" s="103"/>
      <c r="N10" s="103"/>
      <c r="O10" s="103"/>
      <c r="P10" s="103"/>
      <c r="Q10" s="103"/>
      <c r="R10" s="103"/>
    </row>
    <row r="11" spans="1:18" ht="30.75" customHeight="1">
      <c r="A11" s="149">
        <v>1</v>
      </c>
      <c r="B11" s="142" t="s">
        <v>470</v>
      </c>
      <c r="C11" s="113" t="s">
        <v>156</v>
      </c>
      <c r="D11" s="24">
        <v>100</v>
      </c>
      <c r="E11" s="24">
        <v>100</v>
      </c>
      <c r="F11" s="24">
        <v>100</v>
      </c>
      <c r="G11" s="24">
        <v>100</v>
      </c>
      <c r="H11" s="97"/>
      <c r="I11" s="97"/>
      <c r="J11" s="97"/>
      <c r="K11" s="97"/>
      <c r="L11" s="97"/>
      <c r="M11" s="97"/>
      <c r="N11" s="97"/>
      <c r="O11" s="97"/>
      <c r="P11" s="97"/>
      <c r="Q11" s="97"/>
      <c r="R11" s="97"/>
    </row>
    <row r="12" spans="1:18" ht="18" customHeight="1">
      <c r="A12" s="149">
        <v>2</v>
      </c>
      <c r="B12" s="113" t="s">
        <v>81</v>
      </c>
      <c r="C12" s="113" t="s">
        <v>3</v>
      </c>
      <c r="D12" s="22">
        <f>ROUND(E11/D11,5)</f>
        <v>1</v>
      </c>
      <c r="E12" s="22">
        <f>ROUND(F11/E11,5)</f>
        <v>1</v>
      </c>
      <c r="F12" s="22">
        <f>ROUND(G11/F11,5)</f>
        <v>1</v>
      </c>
      <c r="G12" s="22"/>
      <c r="H12" s="97"/>
      <c r="I12" s="97"/>
      <c r="J12" s="97"/>
      <c r="K12" s="97"/>
      <c r="L12" s="97"/>
      <c r="M12" s="97"/>
      <c r="N12" s="97"/>
      <c r="O12" s="97"/>
      <c r="P12" s="97"/>
      <c r="Q12" s="97"/>
      <c r="R12" s="97"/>
    </row>
    <row r="13" spans="1:18" ht="18" customHeight="1">
      <c r="A13" s="149">
        <v>3</v>
      </c>
      <c r="B13" s="159" t="s">
        <v>468</v>
      </c>
      <c r="C13" s="113"/>
      <c r="D13" s="258">
        <f>ROUND(SUM(D12:F12)/3,5)</f>
        <v>1</v>
      </c>
      <c r="E13" s="258"/>
      <c r="F13" s="258"/>
      <c r="G13" s="258"/>
      <c r="H13" s="97"/>
      <c r="I13" s="97"/>
      <c r="J13" s="97"/>
      <c r="K13" s="97"/>
      <c r="L13" s="97"/>
      <c r="M13" s="97"/>
      <c r="N13" s="97"/>
      <c r="O13" s="97"/>
      <c r="P13" s="97"/>
      <c r="Q13" s="97"/>
      <c r="R13" s="97"/>
    </row>
    <row r="14" spans="1:18" ht="16.5" customHeight="1">
      <c r="A14" s="74"/>
      <c r="B14" s="43"/>
      <c r="C14" s="43"/>
      <c r="D14" s="97"/>
      <c r="E14" s="97"/>
      <c r="F14" s="97"/>
      <c r="G14" s="97"/>
      <c r="H14" s="97"/>
      <c r="I14" s="97"/>
      <c r="J14" s="97"/>
      <c r="K14" s="97"/>
      <c r="L14" s="97"/>
      <c r="M14" s="97"/>
      <c r="N14" s="97"/>
      <c r="O14" s="97"/>
      <c r="P14" s="97"/>
      <c r="Q14" s="97"/>
      <c r="R14" s="97"/>
    </row>
    <row r="15" spans="1:18" ht="18.75" customHeight="1">
      <c r="A15" s="248" t="s">
        <v>279</v>
      </c>
      <c r="B15" s="248" t="s">
        <v>482</v>
      </c>
      <c r="C15" s="248" t="s">
        <v>452</v>
      </c>
      <c r="D15" s="248" t="s">
        <v>424</v>
      </c>
      <c r="E15" s="248"/>
      <c r="F15" s="248"/>
      <c r="G15" s="248"/>
      <c r="H15" s="248"/>
      <c r="I15" s="97"/>
      <c r="J15" s="97"/>
      <c r="K15" s="97"/>
      <c r="L15" s="97"/>
      <c r="M15" s="97"/>
      <c r="N15" s="97"/>
      <c r="O15" s="97"/>
      <c r="P15" s="97"/>
      <c r="Q15" s="97"/>
      <c r="R15" s="97"/>
    </row>
    <row r="16" spans="1:18" ht="18" customHeight="1">
      <c r="A16" s="248"/>
      <c r="B16" s="248"/>
      <c r="C16" s="248"/>
      <c r="D16" s="96">
        <v>2016</v>
      </c>
      <c r="E16" s="96">
        <v>2017</v>
      </c>
      <c r="F16" s="96">
        <v>2018</v>
      </c>
      <c r="G16" s="96">
        <v>2019</v>
      </c>
      <c r="H16" s="96">
        <v>2020</v>
      </c>
      <c r="I16" s="103"/>
      <c r="J16" s="103"/>
      <c r="K16" s="103"/>
      <c r="L16" s="103"/>
      <c r="M16" s="103"/>
      <c r="N16" s="103"/>
      <c r="O16" s="103"/>
      <c r="P16" s="103"/>
      <c r="Q16" s="103"/>
      <c r="R16" s="103"/>
    </row>
    <row r="17" spans="1:18" ht="18" customHeight="1">
      <c r="A17" s="149">
        <v>4</v>
      </c>
      <c r="B17" s="142" t="s">
        <v>373</v>
      </c>
      <c r="C17" s="113"/>
      <c r="D17" s="55">
        <v>0</v>
      </c>
      <c r="E17" s="55">
        <v>0</v>
      </c>
      <c r="F17" s="55">
        <v>0</v>
      </c>
      <c r="G17" s="55">
        <v>0</v>
      </c>
      <c r="H17" s="22">
        <f>100%-SUM(D17:G17)</f>
        <v>1</v>
      </c>
      <c r="I17" s="97"/>
      <c r="J17" s="97"/>
      <c r="K17" s="97"/>
      <c r="L17" s="97"/>
      <c r="M17" s="97"/>
      <c r="N17" s="97"/>
      <c r="O17" s="97"/>
      <c r="P17" s="97"/>
      <c r="Q17" s="97"/>
      <c r="R17" s="97"/>
    </row>
    <row r="18" spans="1:18" ht="30.75" customHeight="1">
      <c r="A18" s="149">
        <v>5</v>
      </c>
      <c r="B18" s="113" t="s">
        <v>194</v>
      </c>
      <c r="C18" s="113"/>
      <c r="D18" s="22" t="e">
        <f>ROUND(D4*D17,0)</f>
        <v>#REF!</v>
      </c>
      <c r="E18" s="22" t="e">
        <f>ROUND(D4*E17,0)</f>
        <v>#REF!</v>
      </c>
      <c r="F18" s="22" t="e">
        <f>ROUND(D4*F17,0)</f>
        <v>#REF!</v>
      </c>
      <c r="G18" s="22" t="e">
        <f>ROUND(D4*G17,0)</f>
        <v>#REF!</v>
      </c>
      <c r="H18" s="22" t="e">
        <f>D4-SUM(D18:G18)</f>
        <v>#REF!</v>
      </c>
      <c r="I18" s="97"/>
      <c r="J18" s="97"/>
      <c r="K18" s="97"/>
      <c r="L18" s="97"/>
      <c r="M18" s="97"/>
      <c r="N18" s="97"/>
      <c r="O18" s="97"/>
      <c r="P18" s="97"/>
      <c r="Q18" s="97"/>
      <c r="R18" s="97"/>
    </row>
    <row r="19" spans="1:18" ht="30.75" customHeight="1">
      <c r="A19" s="149">
        <v>6</v>
      </c>
      <c r="B19" s="113" t="s">
        <v>170</v>
      </c>
      <c r="C19" s="113" t="s">
        <v>16</v>
      </c>
      <c r="D19" s="22">
        <f>ROUND(D13,5)</f>
        <v>1</v>
      </c>
      <c r="E19" s="22">
        <f>ROUND(D19*D19,5)</f>
        <v>1</v>
      </c>
      <c r="F19" s="22">
        <f>ROUND(E19*D19,5)</f>
        <v>1</v>
      </c>
      <c r="G19" s="22">
        <f>ROUND(F19*D19,5)</f>
        <v>1</v>
      </c>
      <c r="H19" s="22">
        <f>ROUND(G19*D19,5)</f>
        <v>1</v>
      </c>
      <c r="I19" s="97"/>
      <c r="J19" s="97"/>
      <c r="K19" s="97"/>
      <c r="L19" s="97"/>
      <c r="M19" s="97"/>
      <c r="N19" s="97"/>
      <c r="O19" s="97"/>
      <c r="P19" s="97"/>
      <c r="Q19" s="97"/>
      <c r="R19" s="97"/>
    </row>
    <row r="20" spans="1:18" ht="43.5" customHeight="1">
      <c r="A20" s="149">
        <v>7</v>
      </c>
      <c r="B20" s="113" t="s">
        <v>49</v>
      </c>
      <c r="C20" s="113" t="s">
        <v>4</v>
      </c>
      <c r="D20" s="22" t="e">
        <f>ROUND(D18*(D19+D7),0)</f>
        <v>#REF!</v>
      </c>
      <c r="E20" s="22" t="e">
        <f>ROUND(E18*(E19+D7),0)</f>
        <v>#REF!</v>
      </c>
      <c r="F20" s="22" t="e">
        <f>ROUND(F18*(F19+D7),0)</f>
        <v>#REF!</v>
      </c>
      <c r="G20" s="22" t="e">
        <f>ROUND(G18*(G19+D7),0)</f>
        <v>#REF!</v>
      </c>
      <c r="H20" s="22" t="e">
        <f>ROUND(H18*(H19+D7),0)</f>
        <v>#REF!</v>
      </c>
      <c r="I20" s="97"/>
      <c r="J20" s="97"/>
      <c r="K20" s="97"/>
      <c r="L20" s="97"/>
      <c r="M20" s="97"/>
      <c r="N20" s="97"/>
      <c r="O20" s="97"/>
      <c r="P20" s="97"/>
      <c r="Q20" s="97"/>
      <c r="R20" s="97"/>
    </row>
    <row r="21" spans="1:18" ht="18" customHeight="1">
      <c r="A21" s="149">
        <v>8</v>
      </c>
      <c r="B21" s="113" t="s">
        <v>408</v>
      </c>
      <c r="C21" s="113" t="s">
        <v>88</v>
      </c>
      <c r="D21" s="22" t="e">
        <f>ROUND(D20-D18,0)</f>
        <v>#REF!</v>
      </c>
      <c r="E21" s="22" t="e">
        <f>ROUND(E20-E18,0)</f>
        <v>#REF!</v>
      </c>
      <c r="F21" s="22" t="e">
        <f>ROUND(F20-F18,0)</f>
        <v>#REF!</v>
      </c>
      <c r="G21" s="22" t="e">
        <f>ROUND(G20-G18,0)</f>
        <v>#REF!</v>
      </c>
      <c r="H21" s="22" t="e">
        <f>ROUND(H20-H18,0)</f>
        <v>#REF!</v>
      </c>
      <c r="I21" s="97"/>
      <c r="J21" s="97"/>
      <c r="K21" s="97"/>
      <c r="L21" s="97"/>
      <c r="M21" s="97"/>
      <c r="N21" s="97"/>
      <c r="O21" s="97"/>
      <c r="P21" s="97"/>
      <c r="Q21" s="97"/>
      <c r="R21" s="97"/>
    </row>
    <row r="22" spans="1:18" ht="18" customHeight="1">
      <c r="A22" s="149">
        <v>9</v>
      </c>
      <c r="B22" s="159" t="s">
        <v>269</v>
      </c>
      <c r="C22" s="113" t="s">
        <v>98</v>
      </c>
      <c r="D22" s="258" t="e">
        <f>ROUND(SUM(D21:H21),0)</f>
        <v>#REF!</v>
      </c>
      <c r="E22" s="258"/>
      <c r="F22" s="258"/>
      <c r="G22" s="258"/>
      <c r="H22" s="258"/>
      <c r="I22" s="97"/>
      <c r="J22" s="97"/>
      <c r="K22" s="97"/>
      <c r="L22" s="97"/>
      <c r="M22" s="97"/>
      <c r="N22" s="97"/>
      <c r="O22" s="97"/>
      <c r="P22" s="97"/>
      <c r="Q22" s="97"/>
      <c r="R22" s="97"/>
    </row>
    <row r="23" spans="1:18" ht="16.5" customHeight="1">
      <c r="A23" s="74"/>
      <c r="B23" s="43"/>
      <c r="C23" s="43"/>
      <c r="D23" s="97"/>
      <c r="E23" s="97"/>
      <c r="F23" s="97"/>
      <c r="G23" s="97"/>
      <c r="H23" s="97"/>
      <c r="I23" s="97"/>
      <c r="J23" s="97"/>
      <c r="K23" s="97"/>
      <c r="L23" s="97"/>
      <c r="M23" s="97"/>
      <c r="N23" s="97"/>
      <c r="O23" s="97"/>
      <c r="P23" s="97"/>
      <c r="Q23" s="97"/>
      <c r="R23" s="97"/>
    </row>
  </sheetData>
  <sheetProtection/>
  <mergeCells count="17">
    <mergeCell ref="A15:A16"/>
    <mergeCell ref="B15:B16"/>
    <mergeCell ref="C15:C16"/>
    <mergeCell ref="D15:H15"/>
    <mergeCell ref="D22:H22"/>
    <mergeCell ref="B7:C7"/>
    <mergeCell ref="A9:A10"/>
    <mergeCell ref="B9:B10"/>
    <mergeCell ref="C9:C10"/>
    <mergeCell ref="D9:G9"/>
    <mergeCell ref="D13:G13"/>
    <mergeCell ref="A1:I1"/>
    <mergeCell ref="A2:I2"/>
    <mergeCell ref="B4:C4"/>
    <mergeCell ref="D4:F4"/>
    <mergeCell ref="B5:C5"/>
    <mergeCell ref="B6:C6"/>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legacyDrawing r:id="rId2"/>
</worksheet>
</file>

<file path=xl/worksheets/sheet14.xml><?xml version="1.0" encoding="utf-8"?>
<worksheet xmlns="http://schemas.openxmlformats.org/spreadsheetml/2006/main" xmlns:r="http://schemas.openxmlformats.org/officeDocument/2006/relationships">
  <dimension ref="A1:I13"/>
  <sheetViews>
    <sheetView showZeros="0" zoomScalePageLayoutView="0" workbookViewId="0" topLeftCell="A1">
      <selection activeCell="A1" sqref="A1:I1"/>
    </sheetView>
  </sheetViews>
  <sheetFormatPr defaultColWidth="9.140625" defaultRowHeight="15"/>
  <cols>
    <col min="1" max="1" width="6.57421875" style="125" customWidth="1"/>
    <col min="2" max="2" width="8.28125" style="125" hidden="1" customWidth="1"/>
    <col min="3" max="3" width="47.28125" style="125" customWidth="1"/>
    <col min="4" max="4" width="8.140625" style="125" hidden="1" customWidth="1"/>
    <col min="5" max="5" width="9.57421875" style="125" customWidth="1"/>
    <col min="6" max="6" width="23.140625" style="125" customWidth="1"/>
    <col min="7" max="7" width="14.7109375" style="125" customWidth="1"/>
    <col min="8" max="8" width="20.8515625" style="125" customWidth="1"/>
    <col min="9" max="9" width="11.28125" style="125" customWidth="1"/>
    <col min="10" max="16384" width="9.140625" style="125" customWidth="1"/>
  </cols>
  <sheetData>
    <row r="1" spans="1:9" ht="22.5" customHeight="1">
      <c r="A1" s="231" t="s">
        <v>50</v>
      </c>
      <c r="B1" s="231"/>
      <c r="C1" s="231"/>
      <c r="D1" s="231"/>
      <c r="E1" s="231"/>
      <c r="F1" s="231"/>
      <c r="G1" s="231"/>
      <c r="H1" s="231"/>
      <c r="I1" s="231"/>
    </row>
    <row r="2" spans="1:9" ht="19.5" customHeight="1">
      <c r="A2" s="234" t="str">
        <f>'Công trình'!A3</f>
        <v>CÔNG TRÌNH: ĐƯỜNG LÂM SINH XÃ HIỀN CHUNG, NAM ĐỘNG, PHÚ XUÂN, HUYỆN QUAN HÓA, TỈNH THANH HÓA</v>
      </c>
      <c r="B2" s="234"/>
      <c r="C2" s="234"/>
      <c r="D2" s="234"/>
      <c r="E2" s="234"/>
      <c r="F2" s="234"/>
      <c r="G2" s="234"/>
      <c r="H2" s="234"/>
      <c r="I2" s="234"/>
    </row>
    <row r="3" spans="1:9" ht="16.5" customHeight="1">
      <c r="A3" s="74"/>
      <c r="B3" s="43"/>
      <c r="C3" s="43"/>
      <c r="D3" s="43"/>
      <c r="E3" s="97"/>
      <c r="F3" s="97"/>
      <c r="G3" s="97"/>
      <c r="H3" s="97"/>
      <c r="I3" s="74"/>
    </row>
    <row r="4" spans="1:9" ht="31.5" customHeight="1">
      <c r="A4" s="53" t="s">
        <v>279</v>
      </c>
      <c r="B4" s="7" t="s">
        <v>493</v>
      </c>
      <c r="C4" s="7" t="s">
        <v>86</v>
      </c>
      <c r="D4" s="7" t="s">
        <v>493</v>
      </c>
      <c r="E4" s="7" t="s">
        <v>144</v>
      </c>
      <c r="F4" s="92" t="s">
        <v>249</v>
      </c>
      <c r="G4" s="92" t="s">
        <v>84</v>
      </c>
      <c r="H4" s="92" t="s">
        <v>164</v>
      </c>
      <c r="I4" s="7" t="s">
        <v>432</v>
      </c>
    </row>
    <row r="5" spans="1:9" ht="15">
      <c r="A5" s="45">
        <v>1</v>
      </c>
      <c r="B5" s="126"/>
      <c r="C5" s="126" t="s">
        <v>415</v>
      </c>
      <c r="D5" s="126"/>
      <c r="E5" s="36"/>
      <c r="F5" s="117">
        <f>SUM(F6:F6)</f>
        <v>188148955</v>
      </c>
      <c r="G5" s="117">
        <f>SUM(G6:G6)</f>
        <v>18814896</v>
      </c>
      <c r="H5" s="117">
        <f>SUM(H6:H6)</f>
        <v>206963851</v>
      </c>
      <c r="I5" s="2" t="s">
        <v>11</v>
      </c>
    </row>
    <row r="6" spans="1:9" ht="15">
      <c r="A6" s="30" t="s">
        <v>185</v>
      </c>
      <c r="B6" s="109">
        <v>1</v>
      </c>
      <c r="C6" s="109" t="s">
        <v>110</v>
      </c>
      <c r="D6" s="109">
        <f>'TH dự toán hạng mục'!D25*1</f>
        <v>188148955</v>
      </c>
      <c r="E6" s="18"/>
      <c r="F6" s="104">
        <f>ROUND(D6,0)</f>
        <v>188148955</v>
      </c>
      <c r="G6" s="104">
        <f>ROUND(F6*10%,0)</f>
        <v>18814896</v>
      </c>
      <c r="H6" s="104">
        <f>F6+G6</f>
        <v>206963851</v>
      </c>
      <c r="I6" s="146"/>
    </row>
    <row r="7" spans="1:9" ht="15">
      <c r="A7" s="72" t="s">
        <v>221</v>
      </c>
      <c r="B7" s="156"/>
      <c r="C7" s="156" t="s">
        <v>168</v>
      </c>
      <c r="D7" s="109"/>
      <c r="E7" s="62"/>
      <c r="F7" s="104">
        <f>SUM(F8:F9)</f>
        <v>0</v>
      </c>
      <c r="G7" s="143">
        <f>SUM(G8:G9)</f>
        <v>0</v>
      </c>
      <c r="H7" s="143" t="e">
        <f>SUM(H8:H9)</f>
        <v>#REF!</v>
      </c>
      <c r="I7" s="31" t="s">
        <v>289</v>
      </c>
    </row>
    <row r="8" spans="1:9" ht="15">
      <c r="A8" s="30" t="s">
        <v>350</v>
      </c>
      <c r="B8" s="109"/>
      <c r="C8" s="109" t="s">
        <v>444</v>
      </c>
      <c r="D8" s="109"/>
      <c r="E8" s="54">
        <v>0.05</v>
      </c>
      <c r="F8" s="104"/>
      <c r="G8" s="104"/>
      <c r="H8" s="104">
        <f>ROUND((H5)*E8,0)</f>
        <v>10348193</v>
      </c>
      <c r="I8" s="146"/>
    </row>
    <row r="9" spans="1:9" ht="15">
      <c r="A9" s="100" t="s">
        <v>244</v>
      </c>
      <c r="B9" s="40"/>
      <c r="C9" s="40" t="s">
        <v>140</v>
      </c>
      <c r="D9" s="40"/>
      <c r="E9" s="93"/>
      <c r="F9" s="33"/>
      <c r="G9" s="33"/>
      <c r="H9" s="139" t="e">
        <f>'Dự phòng trượt giá'!D22</f>
        <v>#REF!</v>
      </c>
      <c r="I9" s="69"/>
    </row>
    <row r="10" spans="1:9" ht="18" customHeight="1">
      <c r="A10" s="91"/>
      <c r="B10" s="35"/>
      <c r="C10" s="95" t="s">
        <v>19</v>
      </c>
      <c r="D10" s="35"/>
      <c r="E10" s="88"/>
      <c r="F10" s="61">
        <f>F5+F7</f>
        <v>188148955</v>
      </c>
      <c r="G10" s="61">
        <f>G5+G7</f>
        <v>18814896</v>
      </c>
      <c r="H10" s="61" t="e">
        <f>H5+H7</f>
        <v>#REF!</v>
      </c>
      <c r="I10" s="123"/>
    </row>
    <row r="11" spans="1:9" ht="18" customHeight="1">
      <c r="A11" s="91"/>
      <c r="B11" s="35"/>
      <c r="C11" s="95" t="s">
        <v>386</v>
      </c>
      <c r="D11" s="35"/>
      <c r="E11" s="88"/>
      <c r="F11" s="61"/>
      <c r="G11" s="61"/>
      <c r="H11" s="61" t="e">
        <f>ROUND(H10,-3)</f>
        <v>#REF!</v>
      </c>
      <c r="I11" s="95"/>
    </row>
    <row r="12" spans="1:9" ht="18.75" customHeight="1">
      <c r="A12" s="239" t="e">
        <f>TienBangChu(H11)</f>
        <v>#NAME?</v>
      </c>
      <c r="B12" s="239"/>
      <c r="C12" s="239"/>
      <c r="D12" s="239"/>
      <c r="E12" s="239"/>
      <c r="F12" s="239"/>
      <c r="G12" s="239"/>
      <c r="H12" s="239"/>
      <c r="I12" s="64"/>
    </row>
    <row r="13" spans="1:9" ht="16.5" customHeight="1">
      <c r="A13" s="74"/>
      <c r="B13" s="43"/>
      <c r="C13" s="43"/>
      <c r="D13" s="43"/>
      <c r="E13" s="97"/>
      <c r="F13" s="97"/>
      <c r="G13" s="97"/>
      <c r="H13" s="97"/>
      <c r="I13" s="74"/>
    </row>
  </sheetData>
  <sheetProtection/>
  <mergeCells count="3">
    <mergeCell ref="A1:I1"/>
    <mergeCell ref="A2:I2"/>
    <mergeCell ref="A12:H12"/>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5.xml><?xml version="1.0" encoding="utf-8"?>
<worksheet xmlns="http://schemas.openxmlformats.org/spreadsheetml/2006/main" xmlns:r="http://schemas.openxmlformats.org/officeDocument/2006/relationships">
  <dimension ref="A1:I24"/>
  <sheetViews>
    <sheetView showZeros="0" zoomScalePageLayoutView="0" workbookViewId="0" topLeftCell="A1">
      <selection activeCell="A1" sqref="A1:I1"/>
    </sheetView>
  </sheetViews>
  <sheetFormatPr defaultColWidth="9.140625" defaultRowHeight="15"/>
  <cols>
    <col min="1" max="1" width="6.57421875" style="125" customWidth="1"/>
    <col min="2" max="2" width="8.28125" style="125" hidden="1" customWidth="1"/>
    <col min="3" max="3" width="47.28125" style="125" customWidth="1"/>
    <col min="4" max="4" width="8.140625" style="125" hidden="1" customWidth="1"/>
    <col min="5" max="5" width="9.57421875" style="125" customWidth="1"/>
    <col min="6" max="6" width="23.140625" style="125" customWidth="1"/>
    <col min="7" max="7" width="14.7109375" style="125" customWidth="1"/>
    <col min="8" max="8" width="22.421875" style="125" customWidth="1"/>
    <col min="9" max="9" width="11.28125" style="125" customWidth="1"/>
    <col min="10" max="16384" width="9.140625" style="125" customWidth="1"/>
  </cols>
  <sheetData>
    <row r="1" spans="1:9" ht="22.5" customHeight="1">
      <c r="A1" s="231" t="s">
        <v>278</v>
      </c>
      <c r="B1" s="231"/>
      <c r="C1" s="231"/>
      <c r="D1" s="231"/>
      <c r="E1" s="231"/>
      <c r="F1" s="231"/>
      <c r="G1" s="231"/>
      <c r="H1" s="231"/>
      <c r="I1" s="231"/>
    </row>
    <row r="2" spans="1:9" ht="19.5" customHeight="1">
      <c r="A2" s="234" t="str">
        <f>'Công trình'!A3</f>
        <v>CÔNG TRÌNH: ĐƯỜNG LÂM SINH XÃ HIỀN CHUNG, NAM ĐỘNG, PHÚ XUÂN, HUYỆN QUAN HÓA, TỈNH THANH HÓA</v>
      </c>
      <c r="B2" s="234"/>
      <c r="C2" s="234"/>
      <c r="D2" s="234"/>
      <c r="E2" s="234"/>
      <c r="F2" s="234"/>
      <c r="G2" s="234"/>
      <c r="H2" s="234"/>
      <c r="I2" s="74"/>
    </row>
    <row r="3" spans="1:9" ht="16.5" customHeight="1">
      <c r="A3" s="74"/>
      <c r="B3" s="43"/>
      <c r="C3" s="43"/>
      <c r="D3" s="43"/>
      <c r="E3" s="97"/>
      <c r="F3" s="97"/>
      <c r="G3" s="97"/>
      <c r="H3" s="97"/>
      <c r="I3" s="74"/>
    </row>
    <row r="4" spans="1:9" ht="31.5" customHeight="1">
      <c r="A4" s="53" t="s">
        <v>279</v>
      </c>
      <c r="B4" s="7" t="s">
        <v>493</v>
      </c>
      <c r="C4" s="7" t="s">
        <v>86</v>
      </c>
      <c r="D4" s="7" t="s">
        <v>493</v>
      </c>
      <c r="E4" s="7" t="s">
        <v>144</v>
      </c>
      <c r="F4" s="92" t="s">
        <v>249</v>
      </c>
      <c r="G4" s="92" t="s">
        <v>84</v>
      </c>
      <c r="H4" s="92" t="s">
        <v>164</v>
      </c>
      <c r="I4" s="7" t="s">
        <v>432</v>
      </c>
    </row>
    <row r="5" spans="1:9" ht="28.5">
      <c r="A5" s="45" t="s">
        <v>336</v>
      </c>
      <c r="B5" s="126"/>
      <c r="C5" s="126" t="s">
        <v>271</v>
      </c>
      <c r="D5" s="126"/>
      <c r="E5" s="36"/>
      <c r="F5" s="117">
        <f>SUM(F6:F7)</f>
        <v>0</v>
      </c>
      <c r="G5" s="117">
        <f>SUM(G6:G7)</f>
        <v>0</v>
      </c>
      <c r="H5" s="117">
        <f>SUM(H6:H7)</f>
        <v>0</v>
      </c>
      <c r="I5" s="2"/>
    </row>
    <row r="6" spans="1:9" ht="15">
      <c r="A6" s="30" t="s">
        <v>185</v>
      </c>
      <c r="B6" s="109"/>
      <c r="C6" s="109" t="s">
        <v>381</v>
      </c>
      <c r="D6" s="109"/>
      <c r="E6" s="18"/>
      <c r="F6" s="104"/>
      <c r="G6" s="104">
        <f>ROUND(F6*0/100,0)</f>
        <v>0</v>
      </c>
      <c r="H6" s="104">
        <f>F6+G6</f>
        <v>0</v>
      </c>
      <c r="I6" s="146"/>
    </row>
    <row r="7" spans="1:9" ht="15">
      <c r="A7" s="30" t="s">
        <v>89</v>
      </c>
      <c r="B7" s="109"/>
      <c r="C7" s="109" t="s">
        <v>5</v>
      </c>
      <c r="D7" s="109"/>
      <c r="E7" s="18"/>
      <c r="F7" s="104"/>
      <c r="G7" s="104">
        <f>ROUND(F7*0/100,0)</f>
        <v>0</v>
      </c>
      <c r="H7" s="104">
        <f>F7+G7</f>
        <v>0</v>
      </c>
      <c r="I7" s="146"/>
    </row>
    <row r="8" spans="1:9" ht="28.5">
      <c r="A8" s="72" t="s">
        <v>221</v>
      </c>
      <c r="B8" s="156"/>
      <c r="C8" s="156" t="s">
        <v>489</v>
      </c>
      <c r="D8" s="156"/>
      <c r="E8" s="62"/>
      <c r="F8" s="143">
        <f>SUM(F9:F10)</f>
        <v>0</v>
      </c>
      <c r="G8" s="143">
        <f>SUM(G9:G10)</f>
        <v>0</v>
      </c>
      <c r="H8" s="143">
        <f>SUM(H9:H10)</f>
        <v>0</v>
      </c>
      <c r="I8" s="31"/>
    </row>
    <row r="9" spans="1:9" ht="15">
      <c r="A9" s="30" t="s">
        <v>350</v>
      </c>
      <c r="B9" s="109"/>
      <c r="C9" s="109" t="s">
        <v>381</v>
      </c>
      <c r="D9" s="109"/>
      <c r="E9" s="18"/>
      <c r="F9" s="104"/>
      <c r="G9" s="104">
        <f aca="true" t="shared" si="0" ref="G9:G17">ROUND(F9*0/100,0)</f>
        <v>0</v>
      </c>
      <c r="H9" s="104">
        <f aca="true" t="shared" si="1" ref="H9:H17">F9+G9</f>
        <v>0</v>
      </c>
      <c r="I9" s="146"/>
    </row>
    <row r="10" spans="1:9" ht="15">
      <c r="A10" s="30" t="s">
        <v>244</v>
      </c>
      <c r="B10" s="109"/>
      <c r="C10" s="109" t="s">
        <v>5</v>
      </c>
      <c r="D10" s="109"/>
      <c r="E10" s="18"/>
      <c r="F10" s="104"/>
      <c r="G10" s="104">
        <f t="shared" si="0"/>
        <v>0</v>
      </c>
      <c r="H10" s="104">
        <f t="shared" si="1"/>
        <v>0</v>
      </c>
      <c r="I10" s="146"/>
    </row>
    <row r="11" spans="1:9" ht="15">
      <c r="A11" s="72" t="s">
        <v>131</v>
      </c>
      <c r="B11" s="156"/>
      <c r="C11" s="156" t="s">
        <v>1</v>
      </c>
      <c r="D11" s="156"/>
      <c r="E11" s="62"/>
      <c r="F11" s="143"/>
      <c r="G11" s="143">
        <f t="shared" si="0"/>
        <v>0</v>
      </c>
      <c r="H11" s="143">
        <f t="shared" si="1"/>
        <v>0</v>
      </c>
      <c r="I11" s="31"/>
    </row>
    <row r="12" spans="1:9" ht="42.75">
      <c r="A12" s="72" t="s">
        <v>54</v>
      </c>
      <c r="B12" s="156"/>
      <c r="C12" s="156" t="s">
        <v>114</v>
      </c>
      <c r="D12" s="156"/>
      <c r="E12" s="62"/>
      <c r="F12" s="143"/>
      <c r="G12" s="143">
        <f t="shared" si="0"/>
        <v>0</v>
      </c>
      <c r="H12" s="143">
        <f t="shared" si="1"/>
        <v>0</v>
      </c>
      <c r="I12" s="31"/>
    </row>
    <row r="13" spans="1:9" ht="28.5">
      <c r="A13" s="72" t="s">
        <v>487</v>
      </c>
      <c r="B13" s="156"/>
      <c r="C13" s="156" t="s">
        <v>32</v>
      </c>
      <c r="D13" s="156"/>
      <c r="E13" s="62"/>
      <c r="F13" s="143"/>
      <c r="G13" s="143">
        <f t="shared" si="0"/>
        <v>0</v>
      </c>
      <c r="H13" s="143">
        <f t="shared" si="1"/>
        <v>0</v>
      </c>
      <c r="I13" s="31"/>
    </row>
    <row r="14" spans="1:9" ht="15">
      <c r="A14" s="72" t="s">
        <v>397</v>
      </c>
      <c r="B14" s="156"/>
      <c r="C14" s="156" t="s">
        <v>23</v>
      </c>
      <c r="D14" s="156"/>
      <c r="E14" s="62"/>
      <c r="F14" s="143"/>
      <c r="G14" s="143">
        <f t="shared" si="0"/>
        <v>0</v>
      </c>
      <c r="H14" s="143">
        <f t="shared" si="1"/>
        <v>0</v>
      </c>
      <c r="I14" s="31"/>
    </row>
    <row r="15" spans="1:9" ht="15">
      <c r="A15" s="72" t="s">
        <v>307</v>
      </c>
      <c r="B15" s="156"/>
      <c r="C15" s="156" t="s">
        <v>365</v>
      </c>
      <c r="D15" s="156"/>
      <c r="E15" s="62"/>
      <c r="F15" s="143"/>
      <c r="G15" s="143">
        <f t="shared" si="0"/>
        <v>0</v>
      </c>
      <c r="H15" s="143">
        <f t="shared" si="1"/>
        <v>0</v>
      </c>
      <c r="I15" s="31"/>
    </row>
    <row r="16" spans="1:9" ht="15">
      <c r="A16" s="72" t="s">
        <v>193</v>
      </c>
      <c r="B16" s="156"/>
      <c r="C16" s="156" t="s">
        <v>254</v>
      </c>
      <c r="D16" s="156"/>
      <c r="E16" s="62"/>
      <c r="F16" s="143"/>
      <c r="G16" s="143">
        <f t="shared" si="0"/>
        <v>0</v>
      </c>
      <c r="H16" s="143">
        <f t="shared" si="1"/>
        <v>0</v>
      </c>
      <c r="I16" s="31"/>
    </row>
    <row r="17" spans="1:9" ht="15">
      <c r="A17" s="72" t="s">
        <v>113</v>
      </c>
      <c r="B17" s="156"/>
      <c r="C17" s="156" t="s">
        <v>433</v>
      </c>
      <c r="D17" s="156"/>
      <c r="E17" s="62"/>
      <c r="F17" s="143"/>
      <c r="G17" s="143">
        <f t="shared" si="0"/>
        <v>0</v>
      </c>
      <c r="H17" s="143">
        <f t="shared" si="1"/>
        <v>0</v>
      </c>
      <c r="I17" s="31"/>
    </row>
    <row r="18" spans="1:9" ht="15">
      <c r="A18" s="72" t="s">
        <v>357</v>
      </c>
      <c r="B18" s="156"/>
      <c r="C18" s="156" t="s">
        <v>168</v>
      </c>
      <c r="D18" s="109"/>
      <c r="E18" s="62"/>
      <c r="F18" s="104">
        <f>SUM(F19:F20)</f>
        <v>0</v>
      </c>
      <c r="G18" s="143">
        <f>SUM(G19:G20)</f>
        <v>0</v>
      </c>
      <c r="H18" s="143" t="e">
        <f>SUM(H19:H20)</f>
        <v>#REF!</v>
      </c>
      <c r="I18" s="31" t="s">
        <v>289</v>
      </c>
    </row>
    <row r="19" spans="1:9" ht="15">
      <c r="A19" s="30" t="s">
        <v>309</v>
      </c>
      <c r="B19" s="109"/>
      <c r="C19" s="109" t="s">
        <v>444</v>
      </c>
      <c r="D19" s="109"/>
      <c r="E19" s="54">
        <v>0.05</v>
      </c>
      <c r="F19" s="104"/>
      <c r="G19" s="104"/>
      <c r="H19" s="104">
        <f>ROUND((H5+H8+H11+H12+H13+H14+H15+H16+H17)*E19,0)</f>
        <v>0</v>
      </c>
      <c r="I19" s="146"/>
    </row>
    <row r="20" spans="1:9" ht="15">
      <c r="A20" s="100" t="s">
        <v>198</v>
      </c>
      <c r="B20" s="40"/>
      <c r="C20" s="40" t="s">
        <v>140</v>
      </c>
      <c r="D20" s="40"/>
      <c r="E20" s="93"/>
      <c r="F20" s="33"/>
      <c r="G20" s="33"/>
      <c r="H20" s="139" t="e">
        <f>'Dự phòng trượt giá'!D22</f>
        <v>#REF!</v>
      </c>
      <c r="I20" s="69"/>
    </row>
    <row r="21" spans="1:9" ht="18" customHeight="1">
      <c r="A21" s="91"/>
      <c r="B21" s="35"/>
      <c r="C21" s="95" t="s">
        <v>19</v>
      </c>
      <c r="D21" s="35"/>
      <c r="E21" s="88"/>
      <c r="F21" s="61">
        <f>F5+F8+F11+F12+F13+F14+F15+F16+F17+F18</f>
        <v>0</v>
      </c>
      <c r="G21" s="61">
        <f>G5+G8+G11+G12+G13+G14+G15+G16+G17+G18</f>
        <v>0</v>
      </c>
      <c r="H21" s="61" t="e">
        <f>H5+H8+H11+H12+H13+H14+H15+H16+H17+H18</f>
        <v>#REF!</v>
      </c>
      <c r="I21" s="123"/>
    </row>
    <row r="22" spans="1:9" ht="18" customHeight="1">
      <c r="A22" s="91"/>
      <c r="B22" s="35"/>
      <c r="C22" s="95" t="s">
        <v>386</v>
      </c>
      <c r="D22" s="35"/>
      <c r="E22" s="88"/>
      <c r="F22" s="61"/>
      <c r="G22" s="61"/>
      <c r="H22" s="61" t="e">
        <f>ROUND(H21,-3)</f>
        <v>#REF!</v>
      </c>
      <c r="I22" s="95"/>
    </row>
    <row r="23" spans="1:9" ht="18.75" customHeight="1">
      <c r="A23" s="239" t="e">
        <f>TienBangChu(H22)</f>
        <v>#NAME?</v>
      </c>
      <c r="B23" s="239"/>
      <c r="C23" s="239"/>
      <c r="D23" s="239"/>
      <c r="E23" s="239"/>
      <c r="F23" s="239"/>
      <c r="G23" s="239"/>
      <c r="H23" s="239"/>
      <c r="I23" s="64"/>
    </row>
    <row r="24" spans="1:9" ht="16.5" customHeight="1">
      <c r="A24" s="74"/>
      <c r="B24" s="43"/>
      <c r="C24" s="43"/>
      <c r="D24" s="43"/>
      <c r="E24" s="97"/>
      <c r="F24" s="97"/>
      <c r="G24" s="97"/>
      <c r="H24" s="97"/>
      <c r="I24" s="74"/>
    </row>
  </sheetData>
  <sheetProtection/>
  <mergeCells count="3">
    <mergeCell ref="A1:I1"/>
    <mergeCell ref="A2:H2"/>
    <mergeCell ref="A23:H23"/>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6.xml><?xml version="1.0" encoding="utf-8"?>
<worksheet xmlns="http://schemas.openxmlformats.org/spreadsheetml/2006/main" xmlns:r="http://schemas.openxmlformats.org/officeDocument/2006/relationships">
  <dimension ref="A1:J31"/>
  <sheetViews>
    <sheetView showZeros="0" zoomScalePageLayoutView="0" workbookViewId="0" topLeftCell="A1">
      <selection activeCell="A1" sqref="A1:I1"/>
    </sheetView>
  </sheetViews>
  <sheetFormatPr defaultColWidth="9.140625" defaultRowHeight="15"/>
  <cols>
    <col min="1" max="1" width="6.28125" style="125" customWidth="1"/>
    <col min="2" max="2" width="43.57421875" style="125" customWidth="1"/>
    <col min="3" max="3" width="9.8515625" style="125" customWidth="1"/>
    <col min="4" max="4" width="12.00390625" style="125" customWidth="1"/>
    <col min="5" max="5" width="12.421875" style="125" customWidth="1"/>
    <col min="6" max="6" width="16.00390625" style="125" customWidth="1"/>
    <col min="7" max="7" width="6.57421875" style="125" customWidth="1"/>
    <col min="8" max="8" width="13.28125" style="125" customWidth="1"/>
    <col min="9" max="9" width="14.7109375" style="125" customWidth="1"/>
    <col min="10" max="10" width="12.140625" style="125" customWidth="1"/>
    <col min="11" max="16384" width="9.140625" style="125" customWidth="1"/>
  </cols>
  <sheetData>
    <row r="1" spans="1:10" ht="22.5" customHeight="1">
      <c r="A1" s="231" t="s">
        <v>324</v>
      </c>
      <c r="B1" s="231"/>
      <c r="C1" s="231"/>
      <c r="D1" s="231"/>
      <c r="E1" s="231"/>
      <c r="F1" s="231"/>
      <c r="G1" s="231"/>
      <c r="H1" s="231"/>
      <c r="I1" s="231"/>
      <c r="J1" s="43"/>
    </row>
    <row r="2" spans="1:10" ht="19.5" customHeight="1">
      <c r="A2" s="234" t="str">
        <f>'Công trình'!A3</f>
        <v>CÔNG TRÌNH: ĐƯỜNG LÂM SINH XÃ HIỀN CHUNG, NAM ĐỘNG, PHÚ XUÂN, HUYỆN QUAN HÓA, TỈNH THANH HÓA</v>
      </c>
      <c r="B2" s="234"/>
      <c r="C2" s="234"/>
      <c r="D2" s="234"/>
      <c r="E2" s="234"/>
      <c r="F2" s="234"/>
      <c r="G2" s="234"/>
      <c r="H2" s="234"/>
      <c r="I2" s="234"/>
      <c r="J2" s="43"/>
    </row>
    <row r="3" spans="1:10" ht="16.5" customHeight="1">
      <c r="A3" s="74"/>
      <c r="B3" s="43"/>
      <c r="C3" s="74"/>
      <c r="D3" s="97"/>
      <c r="E3" s="97"/>
      <c r="F3" s="97"/>
      <c r="G3" s="97"/>
      <c r="H3" s="97"/>
      <c r="I3" s="97"/>
      <c r="J3" s="43"/>
    </row>
    <row r="4" spans="1:10" ht="20.25" customHeight="1">
      <c r="A4" s="254" t="s">
        <v>279</v>
      </c>
      <c r="B4" s="248" t="s">
        <v>76</v>
      </c>
      <c r="C4" s="248" t="s">
        <v>486</v>
      </c>
      <c r="D4" s="253" t="s">
        <v>90</v>
      </c>
      <c r="E4" s="257" t="s">
        <v>243</v>
      </c>
      <c r="F4" s="257" t="s">
        <v>204</v>
      </c>
      <c r="G4" s="248" t="s">
        <v>394</v>
      </c>
      <c r="H4" s="248"/>
      <c r="I4" s="257" t="s">
        <v>159</v>
      </c>
      <c r="J4" s="248" t="s">
        <v>495</v>
      </c>
    </row>
    <row r="5" spans="1:10" ht="19.5" customHeight="1">
      <c r="A5" s="254"/>
      <c r="B5" s="248"/>
      <c r="C5" s="248"/>
      <c r="D5" s="253"/>
      <c r="E5" s="257"/>
      <c r="F5" s="257"/>
      <c r="G5" s="4" t="s">
        <v>372</v>
      </c>
      <c r="H5" s="71" t="s">
        <v>313</v>
      </c>
      <c r="I5" s="257"/>
      <c r="J5" s="248"/>
    </row>
    <row r="6" spans="1:10" ht="28.5">
      <c r="A6" s="45" t="s">
        <v>336</v>
      </c>
      <c r="B6" s="126" t="s">
        <v>271</v>
      </c>
      <c r="C6" s="2"/>
      <c r="D6" s="57"/>
      <c r="E6" s="117"/>
      <c r="F6" s="117">
        <f aca="true" t="shared" si="0" ref="F6:F18">ROUND(D6*E6,0)</f>
        <v>0</v>
      </c>
      <c r="G6" s="36"/>
      <c r="H6" s="117">
        <f aca="true" t="shared" si="1" ref="H6:H18">ROUND(F6*G6/100,0)</f>
        <v>0</v>
      </c>
      <c r="I6" s="86">
        <f aca="true" t="shared" si="2" ref="I6:I18">F6+H6</f>
        <v>0</v>
      </c>
      <c r="J6" s="126"/>
    </row>
    <row r="7" spans="1:10" ht="15">
      <c r="A7" s="30" t="s">
        <v>185</v>
      </c>
      <c r="B7" s="109" t="s">
        <v>381</v>
      </c>
      <c r="C7" s="146"/>
      <c r="D7" s="42"/>
      <c r="E7" s="104"/>
      <c r="F7" s="104">
        <f t="shared" si="0"/>
        <v>0</v>
      </c>
      <c r="G7" s="18"/>
      <c r="H7" s="104">
        <f t="shared" si="1"/>
        <v>0</v>
      </c>
      <c r="I7" s="104">
        <f t="shared" si="2"/>
        <v>0</v>
      </c>
      <c r="J7" s="109"/>
    </row>
    <row r="8" spans="1:10" ht="15">
      <c r="A8" s="30" t="s">
        <v>89</v>
      </c>
      <c r="B8" s="109" t="s">
        <v>5</v>
      </c>
      <c r="C8" s="146"/>
      <c r="D8" s="42"/>
      <c r="E8" s="104"/>
      <c r="F8" s="104">
        <f t="shared" si="0"/>
        <v>0</v>
      </c>
      <c r="G8" s="18"/>
      <c r="H8" s="104">
        <f t="shared" si="1"/>
        <v>0</v>
      </c>
      <c r="I8" s="104">
        <f t="shared" si="2"/>
        <v>0</v>
      </c>
      <c r="J8" s="109"/>
    </row>
    <row r="9" spans="1:10" ht="28.5">
      <c r="A9" s="72" t="s">
        <v>221</v>
      </c>
      <c r="B9" s="156" t="s">
        <v>489</v>
      </c>
      <c r="C9" s="31"/>
      <c r="D9" s="81"/>
      <c r="E9" s="143"/>
      <c r="F9" s="143">
        <f t="shared" si="0"/>
        <v>0</v>
      </c>
      <c r="G9" s="62"/>
      <c r="H9" s="143">
        <f t="shared" si="1"/>
        <v>0</v>
      </c>
      <c r="I9" s="143">
        <f t="shared" si="2"/>
        <v>0</v>
      </c>
      <c r="J9" s="156"/>
    </row>
    <row r="10" spans="1:10" ht="15">
      <c r="A10" s="30" t="s">
        <v>350</v>
      </c>
      <c r="B10" s="109" t="s">
        <v>381</v>
      </c>
      <c r="C10" s="146"/>
      <c r="D10" s="42"/>
      <c r="E10" s="104"/>
      <c r="F10" s="104">
        <f t="shared" si="0"/>
        <v>0</v>
      </c>
      <c r="G10" s="18"/>
      <c r="H10" s="104">
        <f t="shared" si="1"/>
        <v>0</v>
      </c>
      <c r="I10" s="104">
        <f t="shared" si="2"/>
        <v>0</v>
      </c>
      <c r="J10" s="109"/>
    </row>
    <row r="11" spans="1:10" ht="15">
      <c r="A11" s="30" t="s">
        <v>244</v>
      </c>
      <c r="B11" s="109" t="s">
        <v>5</v>
      </c>
      <c r="C11" s="146"/>
      <c r="D11" s="42"/>
      <c r="E11" s="104"/>
      <c r="F11" s="104">
        <f t="shared" si="0"/>
        <v>0</v>
      </c>
      <c r="G11" s="18"/>
      <c r="H11" s="104">
        <f t="shared" si="1"/>
        <v>0</v>
      </c>
      <c r="I11" s="104">
        <f t="shared" si="2"/>
        <v>0</v>
      </c>
      <c r="J11" s="109"/>
    </row>
    <row r="12" spans="1:10" ht="15">
      <c r="A12" s="72" t="s">
        <v>131</v>
      </c>
      <c r="B12" s="156" t="s">
        <v>1</v>
      </c>
      <c r="C12" s="31"/>
      <c r="D12" s="81"/>
      <c r="E12" s="143"/>
      <c r="F12" s="143">
        <f t="shared" si="0"/>
        <v>0</v>
      </c>
      <c r="G12" s="62"/>
      <c r="H12" s="143">
        <f t="shared" si="1"/>
        <v>0</v>
      </c>
      <c r="I12" s="143">
        <f t="shared" si="2"/>
        <v>0</v>
      </c>
      <c r="J12" s="156"/>
    </row>
    <row r="13" spans="1:10" ht="42.75">
      <c r="A13" s="72" t="s">
        <v>54</v>
      </c>
      <c r="B13" s="156" t="s">
        <v>114</v>
      </c>
      <c r="C13" s="31"/>
      <c r="D13" s="81"/>
      <c r="E13" s="143"/>
      <c r="F13" s="143">
        <f t="shared" si="0"/>
        <v>0</v>
      </c>
      <c r="G13" s="62"/>
      <c r="H13" s="143">
        <f t="shared" si="1"/>
        <v>0</v>
      </c>
      <c r="I13" s="143">
        <f t="shared" si="2"/>
        <v>0</v>
      </c>
      <c r="J13" s="156"/>
    </row>
    <row r="14" spans="1:10" ht="28.5">
      <c r="A14" s="72" t="s">
        <v>487</v>
      </c>
      <c r="B14" s="156" t="s">
        <v>32</v>
      </c>
      <c r="C14" s="31"/>
      <c r="D14" s="81"/>
      <c r="E14" s="143"/>
      <c r="F14" s="143">
        <f t="shared" si="0"/>
        <v>0</v>
      </c>
      <c r="G14" s="62"/>
      <c r="H14" s="143">
        <f t="shared" si="1"/>
        <v>0</v>
      </c>
      <c r="I14" s="104">
        <f t="shared" si="2"/>
        <v>0</v>
      </c>
      <c r="J14" s="156"/>
    </row>
    <row r="15" spans="1:10" ht="15">
      <c r="A15" s="72" t="s">
        <v>397</v>
      </c>
      <c r="B15" s="156" t="s">
        <v>23</v>
      </c>
      <c r="C15" s="31"/>
      <c r="D15" s="81"/>
      <c r="E15" s="143"/>
      <c r="F15" s="143">
        <f t="shared" si="0"/>
        <v>0</v>
      </c>
      <c r="G15" s="62"/>
      <c r="H15" s="143">
        <f t="shared" si="1"/>
        <v>0</v>
      </c>
      <c r="I15" s="104">
        <f t="shared" si="2"/>
        <v>0</v>
      </c>
      <c r="J15" s="156"/>
    </row>
    <row r="16" spans="1:10" ht="28.5">
      <c r="A16" s="72" t="s">
        <v>307</v>
      </c>
      <c r="B16" s="156" t="s">
        <v>365</v>
      </c>
      <c r="C16" s="31"/>
      <c r="D16" s="81"/>
      <c r="E16" s="143"/>
      <c r="F16" s="143">
        <f t="shared" si="0"/>
        <v>0</v>
      </c>
      <c r="G16" s="62"/>
      <c r="H16" s="143">
        <f t="shared" si="1"/>
        <v>0</v>
      </c>
      <c r="I16" s="143">
        <f t="shared" si="2"/>
        <v>0</v>
      </c>
      <c r="J16" s="156"/>
    </row>
    <row r="17" spans="1:10" ht="15">
      <c r="A17" s="72" t="s">
        <v>193</v>
      </c>
      <c r="B17" s="156" t="s">
        <v>254</v>
      </c>
      <c r="C17" s="31"/>
      <c r="D17" s="81"/>
      <c r="E17" s="143"/>
      <c r="F17" s="143">
        <f t="shared" si="0"/>
        <v>0</v>
      </c>
      <c r="G17" s="62"/>
      <c r="H17" s="143">
        <f t="shared" si="1"/>
        <v>0</v>
      </c>
      <c r="I17" s="143">
        <f t="shared" si="2"/>
        <v>0</v>
      </c>
      <c r="J17" s="156"/>
    </row>
    <row r="18" spans="1:10" ht="15">
      <c r="A18" s="140" t="s">
        <v>113</v>
      </c>
      <c r="B18" s="78" t="s">
        <v>433</v>
      </c>
      <c r="C18" s="101"/>
      <c r="D18" s="155"/>
      <c r="E18" s="73"/>
      <c r="F18" s="73">
        <f t="shared" si="0"/>
        <v>0</v>
      </c>
      <c r="G18" s="132"/>
      <c r="H18" s="73">
        <f t="shared" si="1"/>
        <v>0</v>
      </c>
      <c r="I18" s="73">
        <f t="shared" si="2"/>
        <v>0</v>
      </c>
      <c r="J18" s="78"/>
    </row>
    <row r="19" spans="1:10" ht="18" customHeight="1">
      <c r="A19" s="91"/>
      <c r="B19" s="137" t="s">
        <v>466</v>
      </c>
      <c r="C19" s="64"/>
      <c r="D19" s="105"/>
      <c r="E19" s="19"/>
      <c r="F19" s="128">
        <f>SUM(F6:F18)</f>
        <v>0</v>
      </c>
      <c r="G19" s="46"/>
      <c r="H19" s="128">
        <f>SUM(H6:H18)</f>
        <v>0</v>
      </c>
      <c r="I19" s="128">
        <f>SUM(I6:I18)</f>
        <v>0</v>
      </c>
      <c r="J19" s="35"/>
    </row>
    <row r="20" spans="1:10" ht="18.75" customHeight="1">
      <c r="A20" s="239" t="e">
        <f>TienBangChu(I19)</f>
        <v>#NAME?</v>
      </c>
      <c r="B20" s="239"/>
      <c r="C20" s="239"/>
      <c r="D20" s="239"/>
      <c r="E20" s="239"/>
      <c r="F20" s="239"/>
      <c r="G20" s="239"/>
      <c r="H20" s="239"/>
      <c r="I20" s="239"/>
      <c r="J20" s="239"/>
    </row>
    <row r="21" spans="1:10" ht="16.5" customHeight="1">
      <c r="A21" s="74"/>
      <c r="B21" s="43"/>
      <c r="C21" s="74"/>
      <c r="D21" s="97"/>
      <c r="E21" s="97"/>
      <c r="F21" s="97"/>
      <c r="G21" s="97"/>
      <c r="H21" s="97"/>
      <c r="I21" s="97"/>
      <c r="J21" s="43"/>
    </row>
    <row r="22" spans="1:10" ht="18" customHeight="1">
      <c r="A22" s="74"/>
      <c r="B22" s="43"/>
      <c r="C22" s="74"/>
      <c r="D22" s="97"/>
      <c r="E22" s="238" t="s">
        <v>112</v>
      </c>
      <c r="F22" s="238"/>
      <c r="G22" s="238"/>
      <c r="H22" s="238"/>
      <c r="I22" s="97"/>
      <c r="J22" s="43"/>
    </row>
    <row r="23" spans="1:10" ht="18" customHeight="1">
      <c r="A23" s="74"/>
      <c r="B23" s="103" t="s">
        <v>492</v>
      </c>
      <c r="C23" s="74"/>
      <c r="D23" s="97"/>
      <c r="E23" s="240" t="s">
        <v>72</v>
      </c>
      <c r="F23" s="240"/>
      <c r="G23" s="240"/>
      <c r="H23" s="240"/>
      <c r="I23" s="97"/>
      <c r="J23" s="43"/>
    </row>
    <row r="24" spans="1:10" ht="16.5" customHeight="1">
      <c r="A24" s="74"/>
      <c r="B24" s="43"/>
      <c r="C24" s="74"/>
      <c r="D24" s="97"/>
      <c r="E24" s="97"/>
      <c r="F24" s="97"/>
      <c r="G24" s="97"/>
      <c r="H24" s="97"/>
      <c r="I24" s="97"/>
      <c r="J24" s="43"/>
    </row>
    <row r="25" spans="1:10" ht="16.5" customHeight="1">
      <c r="A25" s="74"/>
      <c r="B25" s="43"/>
      <c r="C25" s="74"/>
      <c r="D25" s="97"/>
      <c r="E25" s="97"/>
      <c r="F25" s="97"/>
      <c r="G25" s="97"/>
      <c r="H25" s="97"/>
      <c r="I25" s="97"/>
      <c r="J25" s="43"/>
    </row>
    <row r="26" spans="1:10" ht="16.5" customHeight="1">
      <c r="A26" s="74"/>
      <c r="B26" s="43"/>
      <c r="C26" s="74"/>
      <c r="D26" s="97"/>
      <c r="E26" s="97"/>
      <c r="F26" s="97"/>
      <c r="G26" s="97"/>
      <c r="H26" s="97"/>
      <c r="I26" s="97"/>
      <c r="J26" s="43"/>
    </row>
    <row r="27" spans="1:10" ht="16.5" customHeight="1">
      <c r="A27" s="74"/>
      <c r="B27" s="43"/>
      <c r="C27" s="74"/>
      <c r="D27" s="97"/>
      <c r="E27" s="97"/>
      <c r="F27" s="97"/>
      <c r="G27" s="97"/>
      <c r="H27" s="97"/>
      <c r="I27" s="97"/>
      <c r="J27" s="43"/>
    </row>
    <row r="28" spans="1:10" ht="16.5" customHeight="1">
      <c r="A28" s="74"/>
      <c r="B28" s="43"/>
      <c r="C28" s="74"/>
      <c r="D28" s="97"/>
      <c r="E28" s="97"/>
      <c r="F28" s="97"/>
      <c r="G28" s="97"/>
      <c r="H28" s="97"/>
      <c r="I28" s="97"/>
      <c r="J28" s="43"/>
    </row>
    <row r="29" spans="1:10" ht="18" customHeight="1">
      <c r="A29" s="74"/>
      <c r="B29" s="74" t="s">
        <v>458</v>
      </c>
      <c r="C29" s="74"/>
      <c r="D29" s="97"/>
      <c r="E29" s="97"/>
      <c r="F29" s="97"/>
      <c r="G29" s="97"/>
      <c r="H29" s="97"/>
      <c r="I29" s="97"/>
      <c r="J29" s="43"/>
    </row>
    <row r="30" spans="1:10" ht="16.5" customHeight="1">
      <c r="A30" s="74"/>
      <c r="B30" s="43"/>
      <c r="C30" s="74"/>
      <c r="D30" s="97"/>
      <c r="E30" s="97"/>
      <c r="F30" s="97"/>
      <c r="G30" s="97"/>
      <c r="H30" s="97"/>
      <c r="I30" s="97"/>
      <c r="J30" s="43"/>
    </row>
    <row r="31" spans="1:10" ht="16.5" customHeight="1">
      <c r="A31" s="74"/>
      <c r="B31" s="43"/>
      <c r="C31" s="74"/>
      <c r="D31" s="97"/>
      <c r="E31" s="97"/>
      <c r="F31" s="97"/>
      <c r="G31" s="97"/>
      <c r="H31" s="97"/>
      <c r="I31" s="97"/>
      <c r="J31" s="43"/>
    </row>
  </sheetData>
  <sheetProtection/>
  <mergeCells count="14">
    <mergeCell ref="E4:E5"/>
    <mergeCell ref="F4:F5"/>
    <mergeCell ref="G4:H4"/>
    <mergeCell ref="I4:I5"/>
    <mergeCell ref="J4:J5"/>
    <mergeCell ref="A20:J20"/>
    <mergeCell ref="E22:H22"/>
    <mergeCell ref="E23:H23"/>
    <mergeCell ref="A1:I1"/>
    <mergeCell ref="A2:I2"/>
    <mergeCell ref="A4:A5"/>
    <mergeCell ref="B4:B5"/>
    <mergeCell ref="C4:C5"/>
    <mergeCell ref="D4:D5"/>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7.xml><?xml version="1.0" encoding="utf-8"?>
<worksheet xmlns="http://schemas.openxmlformats.org/spreadsheetml/2006/main" xmlns:r="http://schemas.openxmlformats.org/officeDocument/2006/relationships">
  <dimension ref="A1:I11"/>
  <sheetViews>
    <sheetView showZeros="0" zoomScalePageLayoutView="0" workbookViewId="0" topLeftCell="A1">
      <selection activeCell="A1" sqref="A1:I1"/>
    </sheetView>
  </sheetViews>
  <sheetFormatPr defaultColWidth="9.140625" defaultRowHeight="15"/>
  <cols>
    <col min="1" max="1" width="6.57421875" style="125" customWidth="1"/>
    <col min="2" max="2" width="8.28125" style="125" hidden="1" customWidth="1"/>
    <col min="3" max="3" width="47.28125" style="125" customWidth="1"/>
    <col min="4" max="4" width="8.140625" style="125" hidden="1" customWidth="1"/>
    <col min="5" max="5" width="9.57421875" style="125" customWidth="1"/>
    <col min="6" max="6" width="23.140625" style="125" customWidth="1"/>
    <col min="7" max="7" width="14.7109375" style="125" customWidth="1"/>
    <col min="8" max="8" width="20.8515625" style="125" customWidth="1"/>
    <col min="9" max="9" width="11.28125" style="125" customWidth="1"/>
    <col min="10" max="16384" width="9.140625" style="125" customWidth="1"/>
  </cols>
  <sheetData>
    <row r="1" spans="1:9" ht="22.5" customHeight="1">
      <c r="A1" s="231" t="s">
        <v>30</v>
      </c>
      <c r="B1" s="231"/>
      <c r="C1" s="231"/>
      <c r="D1" s="231"/>
      <c r="E1" s="231"/>
      <c r="F1" s="231"/>
      <c r="G1" s="231"/>
      <c r="H1" s="231"/>
      <c r="I1" s="231"/>
    </row>
    <row r="2" spans="1:9" ht="18" customHeight="1">
      <c r="A2" s="232" t="s">
        <v>333</v>
      </c>
      <c r="B2" s="232"/>
      <c r="C2" s="232"/>
      <c r="D2" s="232"/>
      <c r="E2" s="232"/>
      <c r="F2" s="232"/>
      <c r="G2" s="232"/>
      <c r="H2" s="232"/>
      <c r="I2" s="232"/>
    </row>
    <row r="3" spans="1:9" ht="19.5" customHeight="1">
      <c r="A3" s="234" t="str">
        <f>'Công trình'!A3</f>
        <v>CÔNG TRÌNH: ĐƯỜNG LÂM SINH XÃ HIỀN CHUNG, NAM ĐỘNG, PHÚ XUÂN, HUYỆN QUAN HÓA, TỈNH THANH HÓA</v>
      </c>
      <c r="B3" s="234"/>
      <c r="C3" s="234"/>
      <c r="D3" s="234"/>
      <c r="E3" s="234"/>
      <c r="F3" s="234"/>
      <c r="G3" s="234"/>
      <c r="H3" s="234"/>
      <c r="I3" s="234"/>
    </row>
    <row r="4" spans="1:9" ht="16.5" customHeight="1">
      <c r="A4" s="74"/>
      <c r="B4" s="43"/>
      <c r="C4" s="43"/>
      <c r="D4" s="43"/>
      <c r="E4" s="97"/>
      <c r="F4" s="97"/>
      <c r="G4" s="97"/>
      <c r="H4" s="97"/>
      <c r="I4" s="74"/>
    </row>
    <row r="5" spans="1:9" ht="31.5" customHeight="1">
      <c r="A5" s="53" t="s">
        <v>279</v>
      </c>
      <c r="B5" s="7" t="s">
        <v>493</v>
      </c>
      <c r="C5" s="7" t="s">
        <v>225</v>
      </c>
      <c r="D5" s="7" t="s">
        <v>493</v>
      </c>
      <c r="E5" s="7" t="s">
        <v>144</v>
      </c>
      <c r="F5" s="92" t="s">
        <v>249</v>
      </c>
      <c r="G5" s="92" t="s">
        <v>84</v>
      </c>
      <c r="H5" s="92" t="s">
        <v>164</v>
      </c>
      <c r="I5" s="7" t="s">
        <v>432</v>
      </c>
    </row>
    <row r="6" spans="1:9" ht="28.5">
      <c r="A6" s="45">
        <v>1</v>
      </c>
      <c r="B6" s="3"/>
      <c r="C6" s="126" t="s">
        <v>310</v>
      </c>
      <c r="D6" s="3"/>
      <c r="E6" s="36"/>
      <c r="F6" s="117">
        <f>SUM(F7:F7)</f>
        <v>4327426</v>
      </c>
      <c r="G6" s="117">
        <f>SUM(G7:G7)</f>
        <v>432743</v>
      </c>
      <c r="H6" s="117">
        <f>SUM(H7:H7)</f>
        <v>4760169</v>
      </c>
      <c r="I6" s="2" t="s">
        <v>177</v>
      </c>
    </row>
    <row r="7" spans="1:9" ht="15">
      <c r="A7" s="30" t="s">
        <v>185</v>
      </c>
      <c r="B7" s="147">
        <v>1</v>
      </c>
      <c r="C7" s="109" t="s">
        <v>110</v>
      </c>
      <c r="D7" s="147">
        <f>'TH dự toán hạng mục'!D25</f>
        <v>188148955</v>
      </c>
      <c r="E7" s="108">
        <v>0.023</v>
      </c>
      <c r="F7" s="104">
        <f>ROUND(D7*E7,0)</f>
        <v>4327426</v>
      </c>
      <c r="G7" s="104">
        <f>ROUND(F7*10%,0)</f>
        <v>432743</v>
      </c>
      <c r="H7" s="104">
        <f>F7+G7</f>
        <v>4760169</v>
      </c>
      <c r="I7" s="146"/>
    </row>
    <row r="8" spans="1:9" ht="28.5">
      <c r="A8" s="72">
        <v>2</v>
      </c>
      <c r="B8" s="32"/>
      <c r="C8" s="156" t="s">
        <v>31</v>
      </c>
      <c r="D8" s="32"/>
      <c r="E8" s="62"/>
      <c r="F8" s="143">
        <f>SUM(F9:F9)</f>
        <v>3762979</v>
      </c>
      <c r="G8" s="143">
        <f>SUM(G9:G9)</f>
        <v>376298</v>
      </c>
      <c r="H8" s="143">
        <f>SUM(H9:H9)</f>
        <v>4139277</v>
      </c>
      <c r="I8" s="31" t="s">
        <v>191</v>
      </c>
    </row>
    <row r="9" spans="1:9" ht="15">
      <c r="A9" s="100" t="s">
        <v>350</v>
      </c>
      <c r="B9" s="70">
        <v>1</v>
      </c>
      <c r="C9" s="40" t="s">
        <v>110</v>
      </c>
      <c r="D9" s="70">
        <f>'TH dự toán hạng mục'!D25</f>
        <v>188148955</v>
      </c>
      <c r="E9" s="120">
        <v>0.02</v>
      </c>
      <c r="F9" s="33">
        <f>ROUND(D9*E9,0)</f>
        <v>3762979</v>
      </c>
      <c r="G9" s="33">
        <f>ROUND(F9*10%,0)</f>
        <v>376298</v>
      </c>
      <c r="H9" s="33">
        <f>F9+G9</f>
        <v>4139277</v>
      </c>
      <c r="I9" s="69"/>
    </row>
    <row r="10" spans="1:9" ht="18" customHeight="1">
      <c r="A10" s="91"/>
      <c r="B10" s="63"/>
      <c r="C10" s="95" t="s">
        <v>19</v>
      </c>
      <c r="D10" s="63"/>
      <c r="E10" s="88"/>
      <c r="F10" s="61">
        <f>ROUND(F6+F8,0)</f>
        <v>8090405</v>
      </c>
      <c r="G10" s="61">
        <f>ROUND(G6+G8,0)</f>
        <v>809041</v>
      </c>
      <c r="H10" s="61">
        <f>ROUND(H6+H8,0)</f>
        <v>8899446</v>
      </c>
      <c r="I10" s="95" t="s">
        <v>331</v>
      </c>
    </row>
    <row r="11" spans="1:9" ht="16.5" customHeight="1">
      <c r="A11" s="74"/>
      <c r="B11" s="43"/>
      <c r="C11" s="43"/>
      <c r="D11" s="43"/>
      <c r="E11" s="97"/>
      <c r="F11" s="97"/>
      <c r="G11" s="97"/>
      <c r="H11" s="97"/>
      <c r="I11" s="74"/>
    </row>
  </sheetData>
  <sheetProtection/>
  <mergeCells count="3">
    <mergeCell ref="A1:I1"/>
    <mergeCell ref="A2:I2"/>
    <mergeCell ref="A3:I3"/>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8.xml><?xml version="1.0" encoding="utf-8"?>
<worksheet xmlns="http://schemas.openxmlformats.org/spreadsheetml/2006/main" xmlns:r="http://schemas.openxmlformats.org/officeDocument/2006/relationships">
  <dimension ref="A1:O33"/>
  <sheetViews>
    <sheetView showZeros="0" zoomScalePageLayoutView="0" workbookViewId="0" topLeftCell="A1">
      <selection activeCell="A1" sqref="A1"/>
    </sheetView>
  </sheetViews>
  <sheetFormatPr defaultColWidth="9.140625" defaultRowHeight="15"/>
  <cols>
    <col min="1" max="1" width="3.57421875" style="125" customWidth="1"/>
    <col min="2" max="2" width="3.7109375" style="125" customWidth="1"/>
    <col min="3" max="3" width="32.421875" style="125" customWidth="1"/>
    <col min="4" max="4" width="25.8515625" style="125" customWidth="1"/>
    <col min="5" max="5" width="28.8515625" style="125" customWidth="1"/>
    <col min="6" max="6" width="13.8515625" style="125" customWidth="1"/>
    <col min="7" max="8" width="5.28125" style="125" customWidth="1"/>
    <col min="9" max="10" width="5.421875" style="125" customWidth="1"/>
    <col min="11" max="11" width="5.57421875" style="125" customWidth="1"/>
    <col min="12" max="13" width="5.00390625" style="125" customWidth="1"/>
    <col min="14" max="14" width="10.57421875" style="125" customWidth="1"/>
    <col min="15" max="15" width="5.28125" style="125" customWidth="1"/>
    <col min="16" max="16384" width="9.140625" style="125" customWidth="1"/>
  </cols>
  <sheetData>
    <row r="1" spans="1:15" ht="17.25" customHeight="1">
      <c r="A1" s="43"/>
      <c r="B1" s="43"/>
      <c r="C1" s="43"/>
      <c r="D1" s="43"/>
      <c r="E1" s="43"/>
      <c r="F1" s="43"/>
      <c r="G1" s="43"/>
      <c r="H1" s="43"/>
      <c r="I1" s="43"/>
      <c r="J1" s="43"/>
      <c r="K1" s="43"/>
      <c r="L1" s="43"/>
      <c r="M1" s="43"/>
      <c r="N1" s="43"/>
      <c r="O1" s="43"/>
    </row>
    <row r="2" spans="1:15" ht="18" customHeight="1">
      <c r="A2" s="240" t="s">
        <v>175</v>
      </c>
      <c r="B2" s="240"/>
      <c r="C2" s="240"/>
      <c r="D2" s="240"/>
      <c r="E2" s="43"/>
      <c r="F2" s="240" t="s">
        <v>27</v>
      </c>
      <c r="G2" s="240"/>
      <c r="H2" s="240"/>
      <c r="I2" s="240"/>
      <c r="J2" s="240"/>
      <c r="K2" s="240"/>
      <c r="L2" s="240"/>
      <c r="M2" s="240"/>
      <c r="N2" s="240"/>
      <c r="O2" s="240"/>
    </row>
    <row r="3" spans="1:15" ht="18" customHeight="1">
      <c r="A3" s="261" t="s">
        <v>270</v>
      </c>
      <c r="B3" s="261"/>
      <c r="C3" s="261"/>
      <c r="D3" s="261"/>
      <c r="E3" s="43"/>
      <c r="F3" s="240" t="s">
        <v>238</v>
      </c>
      <c r="G3" s="240"/>
      <c r="H3" s="240"/>
      <c r="I3" s="240"/>
      <c r="J3" s="240"/>
      <c r="K3" s="240"/>
      <c r="L3" s="240"/>
      <c r="M3" s="240"/>
      <c r="N3" s="240"/>
      <c r="O3" s="240"/>
    </row>
    <row r="4" spans="1:15" ht="18" customHeight="1">
      <c r="A4" s="238" t="s">
        <v>382</v>
      </c>
      <c r="B4" s="238"/>
      <c r="C4" s="238"/>
      <c r="D4" s="238"/>
      <c r="E4" s="43"/>
      <c r="F4" s="238" t="s">
        <v>453</v>
      </c>
      <c r="G4" s="238"/>
      <c r="H4" s="238"/>
      <c r="I4" s="238"/>
      <c r="J4" s="238"/>
      <c r="K4" s="238"/>
      <c r="L4" s="238"/>
      <c r="M4" s="238"/>
      <c r="N4" s="238"/>
      <c r="O4" s="238"/>
    </row>
    <row r="5" spans="1:15" ht="17.25" customHeight="1">
      <c r="A5" s="43"/>
      <c r="B5" s="43"/>
      <c r="C5" s="43"/>
      <c r="D5" s="43"/>
      <c r="E5" s="43"/>
      <c r="F5" s="43"/>
      <c r="G5" s="43"/>
      <c r="H5" s="43"/>
      <c r="I5" s="43"/>
      <c r="J5" s="43"/>
      <c r="K5" s="43"/>
      <c r="L5" s="43"/>
      <c r="M5" s="43"/>
      <c r="N5" s="43"/>
      <c r="O5" s="43"/>
    </row>
    <row r="6" spans="1:15" ht="17.25" customHeight="1">
      <c r="A6" s="43"/>
      <c r="B6" s="43"/>
      <c r="C6" s="43"/>
      <c r="D6" s="43"/>
      <c r="E6" s="43"/>
      <c r="F6" s="43"/>
      <c r="G6" s="43"/>
      <c r="H6" s="43"/>
      <c r="I6" s="43"/>
      <c r="J6" s="43"/>
      <c r="K6" s="43"/>
      <c r="L6" s="43"/>
      <c r="M6" s="43"/>
      <c r="N6" s="43"/>
      <c r="O6" s="43"/>
    </row>
    <row r="7" spans="1:15" ht="17.25" customHeight="1">
      <c r="A7" s="43"/>
      <c r="B7" s="43"/>
      <c r="C7" s="43"/>
      <c r="D7" s="43"/>
      <c r="E7" s="43"/>
      <c r="F7" s="43"/>
      <c r="G7" s="43"/>
      <c r="H7" s="43"/>
      <c r="I7" s="43"/>
      <c r="J7" s="43"/>
      <c r="K7" s="43"/>
      <c r="L7" s="43"/>
      <c r="M7" s="43"/>
      <c r="N7" s="43"/>
      <c r="O7" s="43"/>
    </row>
    <row r="8" spans="1:15" ht="17.25" customHeight="1">
      <c r="A8" s="43"/>
      <c r="B8" s="43"/>
      <c r="C8" s="43"/>
      <c r="D8" s="43"/>
      <c r="E8" s="43"/>
      <c r="F8" s="43"/>
      <c r="G8" s="43"/>
      <c r="H8" s="43"/>
      <c r="I8" s="43"/>
      <c r="J8" s="43"/>
      <c r="K8" s="43"/>
      <c r="L8" s="43"/>
      <c r="M8" s="43"/>
      <c r="N8" s="43"/>
      <c r="O8" s="43"/>
    </row>
    <row r="9" spans="1:15" ht="17.25" customHeight="1">
      <c r="A9" s="43"/>
      <c r="B9" s="43"/>
      <c r="C9" s="43"/>
      <c r="D9" s="43"/>
      <c r="E9" s="43"/>
      <c r="F9" s="43"/>
      <c r="G9" s="43"/>
      <c r="H9" s="43"/>
      <c r="I9" s="43"/>
      <c r="J9" s="43"/>
      <c r="K9" s="43"/>
      <c r="L9" s="43"/>
      <c r="M9" s="43"/>
      <c r="N9" s="43"/>
      <c r="O9" s="43"/>
    </row>
    <row r="10" spans="1:15" ht="17.25" customHeight="1">
      <c r="A10" s="43"/>
      <c r="B10" s="43"/>
      <c r="C10" s="43"/>
      <c r="D10" s="43"/>
      <c r="E10" s="43"/>
      <c r="F10" s="43"/>
      <c r="G10" s="43"/>
      <c r="H10" s="43"/>
      <c r="I10" s="43"/>
      <c r="J10" s="43"/>
      <c r="K10" s="43"/>
      <c r="L10" s="43"/>
      <c r="M10" s="43"/>
      <c r="N10" s="43"/>
      <c r="O10" s="43"/>
    </row>
    <row r="11" spans="1:15" ht="17.25" customHeight="1">
      <c r="A11" s="43"/>
      <c r="B11" s="43"/>
      <c r="C11" s="43"/>
      <c r="D11" s="43"/>
      <c r="E11" s="43"/>
      <c r="F11" s="43"/>
      <c r="G11" s="43"/>
      <c r="H11" s="43"/>
      <c r="I11" s="43"/>
      <c r="J11" s="43"/>
      <c r="K11" s="43"/>
      <c r="L11" s="43"/>
      <c r="M11" s="43"/>
      <c r="N11" s="43"/>
      <c r="O11" s="43"/>
    </row>
    <row r="12" spans="1:15" ht="17.25" customHeight="1">
      <c r="A12" s="43"/>
      <c r="B12" s="43"/>
      <c r="C12" s="43"/>
      <c r="D12" s="43"/>
      <c r="E12" s="43"/>
      <c r="F12" s="43"/>
      <c r="G12" s="43"/>
      <c r="H12" s="43"/>
      <c r="I12" s="43"/>
      <c r="J12" s="43"/>
      <c r="K12" s="43"/>
      <c r="L12" s="43"/>
      <c r="M12" s="43"/>
      <c r="N12" s="43"/>
      <c r="O12" s="43"/>
    </row>
    <row r="13" spans="1:15" ht="32.25" customHeight="1">
      <c r="A13" s="262" t="s">
        <v>41</v>
      </c>
      <c r="B13" s="262"/>
      <c r="C13" s="262"/>
      <c r="D13" s="262"/>
      <c r="E13" s="262"/>
      <c r="F13" s="262"/>
      <c r="G13" s="262"/>
      <c r="H13" s="262"/>
      <c r="I13" s="262"/>
      <c r="J13" s="262"/>
      <c r="K13" s="262"/>
      <c r="L13" s="262"/>
      <c r="M13" s="262"/>
      <c r="N13" s="262"/>
      <c r="O13" s="262"/>
    </row>
    <row r="14" spans="1:15" ht="17.25" customHeight="1">
      <c r="A14" s="43"/>
      <c r="B14" s="43"/>
      <c r="C14" s="43"/>
      <c r="D14" s="43"/>
      <c r="E14" s="43"/>
      <c r="F14" s="43"/>
      <c r="G14" s="43"/>
      <c r="H14" s="43"/>
      <c r="I14" s="43"/>
      <c r="J14" s="43"/>
      <c r="K14" s="43"/>
      <c r="L14" s="43"/>
      <c r="M14" s="43"/>
      <c r="N14" s="43"/>
      <c r="O14" s="43"/>
    </row>
    <row r="15" spans="1:15" ht="21" customHeight="1">
      <c r="A15" s="263" t="s">
        <v>250</v>
      </c>
      <c r="B15" s="263"/>
      <c r="C15" s="263"/>
      <c r="D15" s="263"/>
      <c r="E15" s="263"/>
      <c r="F15" s="263"/>
      <c r="G15" s="263"/>
      <c r="H15" s="263"/>
      <c r="I15" s="263"/>
      <c r="J15" s="263"/>
      <c r="K15" s="263"/>
      <c r="L15" s="263"/>
      <c r="M15" s="263"/>
      <c r="N15" s="263"/>
      <c r="O15" s="263"/>
    </row>
    <row r="16" spans="1:15" ht="17.25" customHeight="1">
      <c r="A16" s="43"/>
      <c r="B16" s="43"/>
      <c r="C16" s="43"/>
      <c r="D16" s="43"/>
      <c r="E16" s="43"/>
      <c r="F16" s="43"/>
      <c r="G16" s="43"/>
      <c r="H16" s="43"/>
      <c r="I16" s="43"/>
      <c r="J16" s="43"/>
      <c r="K16" s="43"/>
      <c r="L16" s="43"/>
      <c r="M16" s="43"/>
      <c r="N16" s="43"/>
      <c r="O16" s="43"/>
    </row>
    <row r="17" spans="1:15" ht="21.75" customHeight="1">
      <c r="A17" s="43"/>
      <c r="B17" s="43"/>
      <c r="C17" s="43"/>
      <c r="D17" s="76" t="s">
        <v>228</v>
      </c>
      <c r="E17" s="264" t="str">
        <f>IF(ISNUMBER(SEARCH(":",'Công trình'!A3)),TRIM(RIGHT('Công trình'!A3,LEN('Công trình'!A3)-FIND(":",'Công trình'!A3))),'Công trình'!A3)</f>
        <v>ĐƯỜNG LÂM SINH XÃ HIỀN CHUNG, NAM ĐỘNG, PHÚ XUÂN, HUYỆN QUAN HÓA, TỈNH THANH HÓA</v>
      </c>
      <c r="F17" s="264"/>
      <c r="G17" s="264"/>
      <c r="H17" s="264"/>
      <c r="I17" s="264"/>
      <c r="J17" s="264"/>
      <c r="K17" s="264"/>
      <c r="L17" s="264"/>
      <c r="M17" s="264"/>
      <c r="N17" s="264"/>
      <c r="O17" s="264"/>
    </row>
    <row r="18" spans="1:15" ht="21.75" customHeight="1">
      <c r="A18" s="43"/>
      <c r="B18" s="43"/>
      <c r="C18" s="43"/>
      <c r="D18" s="76" t="s">
        <v>441</v>
      </c>
      <c r="E18" s="264" t="s">
        <v>115</v>
      </c>
      <c r="F18" s="264"/>
      <c r="G18" s="264"/>
      <c r="H18" s="264"/>
      <c r="I18" s="264"/>
      <c r="J18" s="264"/>
      <c r="K18" s="264"/>
      <c r="L18" s="264"/>
      <c r="M18" s="264"/>
      <c r="N18" s="264"/>
      <c r="O18" s="264"/>
    </row>
    <row r="19" spans="1:15" ht="21.75" customHeight="1">
      <c r="A19" s="43"/>
      <c r="B19" s="43"/>
      <c r="C19" s="43"/>
      <c r="D19" s="76" t="s">
        <v>234</v>
      </c>
      <c r="E19" s="264" t="s">
        <v>304</v>
      </c>
      <c r="F19" s="264"/>
      <c r="G19" s="264"/>
      <c r="H19" s="264"/>
      <c r="I19" s="264"/>
      <c r="J19" s="264"/>
      <c r="K19" s="264"/>
      <c r="L19" s="264"/>
      <c r="M19" s="264"/>
      <c r="N19" s="264"/>
      <c r="O19" s="264"/>
    </row>
    <row r="20" spans="1:15" ht="21.75" customHeight="1">
      <c r="A20" s="43"/>
      <c r="B20" s="43"/>
      <c r="C20" s="43"/>
      <c r="D20" s="76" t="s">
        <v>252</v>
      </c>
      <c r="E20" s="264" t="s">
        <v>55</v>
      </c>
      <c r="F20" s="264"/>
      <c r="G20" s="264"/>
      <c r="H20" s="264"/>
      <c r="I20" s="264"/>
      <c r="J20" s="264"/>
      <c r="K20" s="264"/>
      <c r="L20" s="264"/>
      <c r="M20" s="264"/>
      <c r="N20" s="264"/>
      <c r="O20" s="264"/>
    </row>
    <row r="21" spans="1:15" ht="17.25" customHeight="1">
      <c r="A21" s="43"/>
      <c r="B21" s="43"/>
      <c r="C21" s="43"/>
      <c r="D21" s="43"/>
      <c r="E21" s="43"/>
      <c r="F21" s="43"/>
      <c r="G21" s="43"/>
      <c r="H21" s="43"/>
      <c r="I21" s="43"/>
      <c r="J21" s="43"/>
      <c r="K21" s="43"/>
      <c r="L21" s="43"/>
      <c r="M21" s="43"/>
      <c r="N21" s="43"/>
      <c r="O21" s="43"/>
    </row>
    <row r="22" spans="1:15" ht="17.25" customHeight="1">
      <c r="A22" s="43"/>
      <c r="B22" s="43"/>
      <c r="C22" s="43"/>
      <c r="D22" s="43"/>
      <c r="E22" s="43"/>
      <c r="F22" s="43"/>
      <c r="G22" s="43"/>
      <c r="H22" s="43"/>
      <c r="I22" s="43"/>
      <c r="J22" s="43"/>
      <c r="K22" s="43"/>
      <c r="L22" s="43"/>
      <c r="M22" s="43"/>
      <c r="N22" s="43"/>
      <c r="O22" s="43"/>
    </row>
    <row r="23" spans="1:15" ht="17.25" customHeight="1">
      <c r="A23" s="43"/>
      <c r="B23" s="43"/>
      <c r="C23" s="43"/>
      <c r="D23" s="43"/>
      <c r="E23" s="43"/>
      <c r="F23" s="43"/>
      <c r="G23" s="43"/>
      <c r="H23" s="43"/>
      <c r="I23" s="43"/>
      <c r="J23" s="43"/>
      <c r="K23" s="43"/>
      <c r="L23" s="43"/>
      <c r="M23" s="43"/>
      <c r="N23" s="43"/>
      <c r="O23" s="43"/>
    </row>
    <row r="24" spans="1:15" ht="17.25" customHeight="1">
      <c r="A24" s="43"/>
      <c r="B24" s="43"/>
      <c r="C24" s="43"/>
      <c r="D24" s="43"/>
      <c r="E24" s="43"/>
      <c r="F24" s="43"/>
      <c r="G24" s="43"/>
      <c r="H24" s="43"/>
      <c r="I24" s="43"/>
      <c r="J24" s="43"/>
      <c r="K24" s="43"/>
      <c r="L24" s="43"/>
      <c r="M24" s="43"/>
      <c r="N24" s="43"/>
      <c r="O24" s="43"/>
    </row>
    <row r="25" spans="1:15" ht="17.25" customHeight="1">
      <c r="A25" s="43"/>
      <c r="B25" s="43"/>
      <c r="C25" s="43"/>
      <c r="D25" s="43"/>
      <c r="E25" s="43"/>
      <c r="F25" s="43"/>
      <c r="G25" s="43"/>
      <c r="H25" s="43"/>
      <c r="I25" s="43"/>
      <c r="J25" s="43"/>
      <c r="K25" s="43"/>
      <c r="L25" s="43"/>
      <c r="M25" s="43"/>
      <c r="N25" s="43"/>
      <c r="O25" s="43"/>
    </row>
    <row r="26" spans="1:15" ht="17.25" customHeight="1">
      <c r="A26" s="43"/>
      <c r="B26" s="43"/>
      <c r="C26" s="43"/>
      <c r="D26" s="43"/>
      <c r="E26" s="43"/>
      <c r="F26" s="43"/>
      <c r="G26" s="43"/>
      <c r="H26" s="43"/>
      <c r="I26" s="43"/>
      <c r="J26" s="43"/>
      <c r="K26" s="43"/>
      <c r="L26" s="43"/>
      <c r="M26" s="43"/>
      <c r="N26" s="43"/>
      <c r="O26" s="43"/>
    </row>
    <row r="27" spans="1:15" ht="17.25" customHeight="1">
      <c r="A27" s="43"/>
      <c r="B27" s="43"/>
      <c r="C27" s="43"/>
      <c r="D27" s="43"/>
      <c r="E27" s="43"/>
      <c r="F27" s="43"/>
      <c r="G27" s="43"/>
      <c r="H27" s="43"/>
      <c r="I27" s="43"/>
      <c r="J27" s="43"/>
      <c r="K27" s="43"/>
      <c r="L27" s="43"/>
      <c r="M27" s="43"/>
      <c r="N27" s="43"/>
      <c r="O27" s="43"/>
    </row>
    <row r="28" spans="1:15" ht="17.25" customHeight="1">
      <c r="A28" s="43"/>
      <c r="B28" s="43"/>
      <c r="C28" s="43"/>
      <c r="D28" s="43"/>
      <c r="E28" s="43"/>
      <c r="F28" s="43"/>
      <c r="G28" s="43"/>
      <c r="H28" s="43"/>
      <c r="I28" s="43"/>
      <c r="J28" s="43"/>
      <c r="K28" s="43"/>
      <c r="L28" s="43"/>
      <c r="M28" s="43"/>
      <c r="N28" s="43"/>
      <c r="O28" s="43"/>
    </row>
    <row r="29" spans="1:15" ht="17.25" customHeight="1">
      <c r="A29" s="43"/>
      <c r="B29" s="43"/>
      <c r="C29" s="43"/>
      <c r="D29" s="43"/>
      <c r="E29" s="43"/>
      <c r="F29" s="43"/>
      <c r="G29" s="43"/>
      <c r="H29" s="43"/>
      <c r="I29" s="43"/>
      <c r="J29" s="43"/>
      <c r="K29" s="43"/>
      <c r="L29" s="43"/>
      <c r="M29" s="43"/>
      <c r="N29" s="43"/>
      <c r="O29" s="43"/>
    </row>
    <row r="30" spans="1:15" ht="17.25" customHeight="1">
      <c r="A30" s="43"/>
      <c r="B30" s="43"/>
      <c r="C30" s="43"/>
      <c r="D30" s="43"/>
      <c r="E30" s="43"/>
      <c r="F30" s="43"/>
      <c r="G30" s="43"/>
      <c r="H30" s="43"/>
      <c r="I30" s="43"/>
      <c r="J30" s="43"/>
      <c r="K30" s="43"/>
      <c r="L30" s="43"/>
      <c r="M30" s="43"/>
      <c r="N30" s="43"/>
      <c r="O30" s="43"/>
    </row>
    <row r="31" spans="1:15" ht="63.75" customHeight="1">
      <c r="A31" s="43"/>
      <c r="B31" s="43"/>
      <c r="C31" s="43"/>
      <c r="D31" s="43"/>
      <c r="E31" s="43"/>
      <c r="F31" s="43"/>
      <c r="G31" s="43"/>
      <c r="H31" s="43"/>
      <c r="I31" s="43"/>
      <c r="J31" s="43"/>
      <c r="K31" s="43"/>
      <c r="L31" s="43"/>
      <c r="M31" s="43"/>
      <c r="N31" s="43"/>
      <c r="O31" s="43"/>
    </row>
    <row r="32" spans="1:15" ht="16.5" customHeight="1">
      <c r="A32" s="240" t="s">
        <v>176</v>
      </c>
      <c r="B32" s="240"/>
      <c r="C32" s="240"/>
      <c r="D32" s="240"/>
      <c r="E32" s="240"/>
      <c r="F32" s="240"/>
      <c r="G32" s="240"/>
      <c r="H32" s="240"/>
      <c r="I32" s="240"/>
      <c r="J32" s="240"/>
      <c r="K32" s="240"/>
      <c r="L32" s="240"/>
      <c r="M32" s="240"/>
      <c r="N32" s="240"/>
      <c r="O32" s="240"/>
    </row>
    <row r="33" spans="1:15" ht="4.5" customHeight="1">
      <c r="A33" s="43"/>
      <c r="B33" s="43"/>
      <c r="C33" s="43"/>
      <c r="D33" s="43"/>
      <c r="E33" s="43"/>
      <c r="F33" s="43"/>
      <c r="G33" s="43"/>
      <c r="H33" s="43"/>
      <c r="I33" s="43"/>
      <c r="J33" s="43"/>
      <c r="K33" s="43"/>
      <c r="L33" s="43"/>
      <c r="M33" s="43"/>
      <c r="N33" s="43"/>
      <c r="O33" s="43"/>
    </row>
  </sheetData>
  <sheetProtection/>
  <mergeCells count="13">
    <mergeCell ref="A32:O32"/>
    <mergeCell ref="A13:O13"/>
    <mergeCell ref="A15:O15"/>
    <mergeCell ref="E17:O17"/>
    <mergeCell ref="E18:O18"/>
    <mergeCell ref="E19:O19"/>
    <mergeCell ref="E20:O20"/>
    <mergeCell ref="A2:D2"/>
    <mergeCell ref="F2:O2"/>
    <mergeCell ref="A3:D3"/>
    <mergeCell ref="F3:O3"/>
    <mergeCell ref="A4:D4"/>
    <mergeCell ref="F4:O4"/>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19.xml><?xml version="1.0" encoding="utf-8"?>
<worksheet xmlns="http://schemas.openxmlformats.org/spreadsheetml/2006/main" xmlns:r="http://schemas.openxmlformats.org/officeDocument/2006/relationships">
  <dimension ref="A1:O32"/>
  <sheetViews>
    <sheetView showZeros="0" zoomScalePageLayoutView="0" workbookViewId="0" topLeftCell="A1">
      <selection activeCell="A1" sqref="A1"/>
    </sheetView>
  </sheetViews>
  <sheetFormatPr defaultColWidth="9.140625" defaultRowHeight="15"/>
  <cols>
    <col min="1" max="1" width="3.57421875" style="125" customWidth="1"/>
    <col min="2" max="2" width="3.7109375" style="125" customWidth="1"/>
    <col min="3" max="3" width="33.00390625" style="125" customWidth="1"/>
    <col min="4" max="4" width="25.421875" style="125" customWidth="1"/>
    <col min="5" max="5" width="24.00390625" style="125" customWidth="1"/>
    <col min="6" max="6" width="18.421875" style="125" customWidth="1"/>
    <col min="7" max="8" width="5.28125" style="125" customWidth="1"/>
    <col min="9" max="10" width="5.421875" style="125" customWidth="1"/>
    <col min="11" max="11" width="5.57421875" style="125" customWidth="1"/>
    <col min="12" max="13" width="5.00390625" style="125" customWidth="1"/>
    <col min="14" max="14" width="10.57421875" style="125" customWidth="1"/>
    <col min="15" max="15" width="5.28125" style="125" customWidth="1"/>
    <col min="16" max="16384" width="9.140625" style="125" customWidth="1"/>
  </cols>
  <sheetData>
    <row r="1" spans="1:15" ht="17.25" customHeight="1">
      <c r="A1" s="43"/>
      <c r="B1" s="43"/>
      <c r="C1" s="43"/>
      <c r="D1" s="43"/>
      <c r="E1" s="43"/>
      <c r="F1" s="43"/>
      <c r="G1" s="43"/>
      <c r="H1" s="43"/>
      <c r="I1" s="43"/>
      <c r="J1" s="43"/>
      <c r="K1" s="43"/>
      <c r="L1" s="43"/>
      <c r="M1" s="43"/>
      <c r="N1" s="43"/>
      <c r="O1" s="43"/>
    </row>
    <row r="2" spans="1:15" ht="18" customHeight="1">
      <c r="A2" s="240" t="s">
        <v>175</v>
      </c>
      <c r="B2" s="240"/>
      <c r="C2" s="240"/>
      <c r="D2" s="240"/>
      <c r="E2" s="43"/>
      <c r="F2" s="240" t="s">
        <v>27</v>
      </c>
      <c r="G2" s="240"/>
      <c r="H2" s="240"/>
      <c r="I2" s="240"/>
      <c r="J2" s="240"/>
      <c r="K2" s="240"/>
      <c r="L2" s="240"/>
      <c r="M2" s="240"/>
      <c r="N2" s="240"/>
      <c r="O2" s="240"/>
    </row>
    <row r="3" spans="1:15" ht="18" customHeight="1">
      <c r="A3" s="261" t="s">
        <v>270</v>
      </c>
      <c r="B3" s="261"/>
      <c r="C3" s="261"/>
      <c r="D3" s="261"/>
      <c r="E3" s="43"/>
      <c r="F3" s="240" t="s">
        <v>238</v>
      </c>
      <c r="G3" s="240"/>
      <c r="H3" s="240"/>
      <c r="I3" s="240"/>
      <c r="J3" s="240"/>
      <c r="K3" s="240"/>
      <c r="L3" s="240"/>
      <c r="M3" s="240"/>
      <c r="N3" s="240"/>
      <c r="O3" s="240"/>
    </row>
    <row r="4" spans="1:15" ht="17.25" customHeight="1">
      <c r="A4" s="238" t="s">
        <v>382</v>
      </c>
      <c r="B4" s="238"/>
      <c r="C4" s="238"/>
      <c r="D4" s="238"/>
      <c r="E4" s="43"/>
      <c r="F4" s="238" t="s">
        <v>453</v>
      </c>
      <c r="G4" s="238"/>
      <c r="H4" s="238"/>
      <c r="I4" s="238"/>
      <c r="J4" s="238"/>
      <c r="K4" s="238"/>
      <c r="L4" s="238"/>
      <c r="M4" s="238"/>
      <c r="N4" s="238"/>
      <c r="O4" s="238"/>
    </row>
    <row r="5" spans="1:15" ht="21" customHeight="1">
      <c r="A5" s="266" t="s">
        <v>250</v>
      </c>
      <c r="B5" s="266"/>
      <c r="C5" s="266"/>
      <c r="D5" s="266"/>
      <c r="E5" s="43"/>
      <c r="F5" s="43"/>
      <c r="G5" s="43"/>
      <c r="H5" s="43"/>
      <c r="I5" s="43"/>
      <c r="J5" s="43"/>
      <c r="K5" s="43"/>
      <c r="L5" s="43"/>
      <c r="M5" s="43"/>
      <c r="N5" s="43"/>
      <c r="O5" s="43"/>
    </row>
    <row r="6" spans="1:15" ht="17.25" customHeight="1">
      <c r="A6" s="43"/>
      <c r="B6" s="43"/>
      <c r="C6" s="43"/>
      <c r="D6" s="43"/>
      <c r="E6" s="43"/>
      <c r="F6" s="43"/>
      <c r="G6" s="43"/>
      <c r="H6" s="43"/>
      <c r="I6" s="43"/>
      <c r="J6" s="43"/>
      <c r="K6" s="43"/>
      <c r="L6" s="43"/>
      <c r="M6" s="43"/>
      <c r="N6" s="43"/>
      <c r="O6" s="43"/>
    </row>
    <row r="7" spans="1:15" ht="17.25" customHeight="1">
      <c r="A7" s="43"/>
      <c r="B7" s="43"/>
      <c r="C7" s="43"/>
      <c r="D7" s="43"/>
      <c r="E7" s="43"/>
      <c r="F7" s="43"/>
      <c r="G7" s="43"/>
      <c r="H7" s="43"/>
      <c r="I7" s="43"/>
      <c r="J7" s="43"/>
      <c r="K7" s="43"/>
      <c r="L7" s="43"/>
      <c r="M7" s="43"/>
      <c r="N7" s="43"/>
      <c r="O7" s="43"/>
    </row>
    <row r="8" spans="1:15" ht="17.25" customHeight="1">
      <c r="A8" s="43"/>
      <c r="B8" s="43"/>
      <c r="C8" s="43"/>
      <c r="D8" s="43"/>
      <c r="E8" s="43"/>
      <c r="F8" s="43"/>
      <c r="G8" s="43"/>
      <c r="H8" s="43"/>
      <c r="I8" s="43"/>
      <c r="J8" s="43"/>
      <c r="K8" s="43"/>
      <c r="L8" s="43"/>
      <c r="M8" s="43"/>
      <c r="N8" s="43"/>
      <c r="O8" s="43"/>
    </row>
    <row r="9" spans="1:15" ht="17.25" customHeight="1">
      <c r="A9" s="43"/>
      <c r="B9" s="43"/>
      <c r="C9" s="43"/>
      <c r="D9" s="43"/>
      <c r="E9" s="43"/>
      <c r="F9" s="43"/>
      <c r="G9" s="43"/>
      <c r="H9" s="43"/>
      <c r="I9" s="43"/>
      <c r="J9" s="43"/>
      <c r="K9" s="43"/>
      <c r="L9" s="43"/>
      <c r="M9" s="43"/>
      <c r="N9" s="43"/>
      <c r="O9" s="43"/>
    </row>
    <row r="10" spans="1:15" ht="17.25" customHeight="1">
      <c r="A10" s="43"/>
      <c r="B10" s="43"/>
      <c r="C10" s="43"/>
      <c r="D10" s="43"/>
      <c r="E10" s="43"/>
      <c r="F10" s="43"/>
      <c r="G10" s="43"/>
      <c r="H10" s="43"/>
      <c r="I10" s="43"/>
      <c r="J10" s="43"/>
      <c r="K10" s="43"/>
      <c r="L10" s="43"/>
      <c r="M10" s="43"/>
      <c r="N10" s="43"/>
      <c r="O10" s="43"/>
    </row>
    <row r="11" spans="1:15" ht="17.25" customHeight="1">
      <c r="A11" s="43"/>
      <c r="B11" s="43"/>
      <c r="C11" s="43"/>
      <c r="D11" s="43"/>
      <c r="E11" s="43"/>
      <c r="F11" s="43"/>
      <c r="G11" s="43"/>
      <c r="H11" s="43"/>
      <c r="I11" s="43"/>
      <c r="J11" s="43"/>
      <c r="K11" s="43"/>
      <c r="L11" s="43"/>
      <c r="M11" s="43"/>
      <c r="N11" s="43"/>
      <c r="O11" s="43"/>
    </row>
    <row r="12" spans="1:15" ht="17.25" customHeight="1">
      <c r="A12" s="43"/>
      <c r="B12" s="43"/>
      <c r="C12" s="43"/>
      <c r="D12" s="43"/>
      <c r="E12" s="43"/>
      <c r="F12" s="43"/>
      <c r="G12" s="43"/>
      <c r="H12" s="43"/>
      <c r="I12" s="43"/>
      <c r="J12" s="43"/>
      <c r="K12" s="43"/>
      <c r="L12" s="43"/>
      <c r="M12" s="43"/>
      <c r="N12" s="43"/>
      <c r="O12" s="43"/>
    </row>
    <row r="13" spans="1:15" ht="32.25" customHeight="1">
      <c r="A13" s="262" t="s">
        <v>41</v>
      </c>
      <c r="B13" s="262"/>
      <c r="C13" s="262"/>
      <c r="D13" s="262"/>
      <c r="E13" s="262"/>
      <c r="F13" s="262"/>
      <c r="G13" s="262"/>
      <c r="H13" s="262"/>
      <c r="I13" s="262"/>
      <c r="J13" s="262"/>
      <c r="K13" s="262"/>
      <c r="L13" s="262"/>
      <c r="M13" s="262"/>
      <c r="N13" s="262"/>
      <c r="O13" s="262"/>
    </row>
    <row r="14" spans="1:15" ht="17.25" customHeight="1">
      <c r="A14" s="43"/>
      <c r="B14" s="43"/>
      <c r="C14" s="43"/>
      <c r="D14" s="43"/>
      <c r="E14" s="43"/>
      <c r="F14" s="43"/>
      <c r="G14" s="43"/>
      <c r="H14" s="43"/>
      <c r="I14" s="43"/>
      <c r="J14" s="43"/>
      <c r="K14" s="43"/>
      <c r="L14" s="43"/>
      <c r="M14" s="43"/>
      <c r="N14" s="43"/>
      <c r="O14" s="43"/>
    </row>
    <row r="15" spans="1:15" ht="21.75" customHeight="1">
      <c r="A15" s="43"/>
      <c r="B15" s="43"/>
      <c r="C15" s="43"/>
      <c r="D15" s="76" t="s">
        <v>228</v>
      </c>
      <c r="E15" s="264" t="str">
        <f>IF(ISNUMBER(SEARCH(":",'Công trình'!A3)),TRIM(RIGHT('Công trình'!A3,LEN('Công trình'!A3)-FIND(":",'Công trình'!A3))),'Công trình'!A3)</f>
        <v>ĐƯỜNG LÂM SINH XÃ HIỀN CHUNG, NAM ĐỘNG, PHÚ XUÂN, HUYỆN QUAN HÓA, TỈNH THANH HÓA</v>
      </c>
      <c r="F15" s="264"/>
      <c r="G15" s="264"/>
      <c r="H15" s="264"/>
      <c r="I15" s="264"/>
      <c r="J15" s="264"/>
      <c r="K15" s="264"/>
      <c r="L15" s="264"/>
      <c r="M15" s="264"/>
      <c r="N15" s="264"/>
      <c r="O15" s="264"/>
    </row>
    <row r="16" spans="1:15" ht="21.75" customHeight="1">
      <c r="A16" s="43"/>
      <c r="B16" s="43"/>
      <c r="C16" s="43"/>
      <c r="D16" s="76" t="s">
        <v>441</v>
      </c>
      <c r="E16" s="264" t="s">
        <v>115</v>
      </c>
      <c r="F16" s="264"/>
      <c r="G16" s="264"/>
      <c r="H16" s="264"/>
      <c r="I16" s="264"/>
      <c r="J16" s="264"/>
      <c r="K16" s="264"/>
      <c r="L16" s="264"/>
      <c r="M16" s="264"/>
      <c r="N16" s="264"/>
      <c r="O16" s="264"/>
    </row>
    <row r="17" spans="1:15" ht="21.75" customHeight="1">
      <c r="A17" s="43"/>
      <c r="B17" s="43"/>
      <c r="C17" s="43"/>
      <c r="D17" s="76" t="s">
        <v>234</v>
      </c>
      <c r="E17" s="264" t="s">
        <v>304</v>
      </c>
      <c r="F17" s="264"/>
      <c r="G17" s="264"/>
      <c r="H17" s="264"/>
      <c r="I17" s="264"/>
      <c r="J17" s="264"/>
      <c r="K17" s="264"/>
      <c r="L17" s="264"/>
      <c r="M17" s="264"/>
      <c r="N17" s="264"/>
      <c r="O17" s="264"/>
    </row>
    <row r="18" spans="1:15" ht="21.75" customHeight="1">
      <c r="A18" s="43"/>
      <c r="B18" s="43"/>
      <c r="C18" s="43"/>
      <c r="D18" s="76" t="s">
        <v>252</v>
      </c>
      <c r="E18" s="264" t="s">
        <v>55</v>
      </c>
      <c r="F18" s="264"/>
      <c r="G18" s="264"/>
      <c r="H18" s="264"/>
      <c r="I18" s="264"/>
      <c r="J18" s="264"/>
      <c r="K18" s="264"/>
      <c r="L18" s="264"/>
      <c r="M18" s="264"/>
      <c r="N18" s="264"/>
      <c r="O18" s="264"/>
    </row>
    <row r="19" spans="1:15" ht="17.25" customHeight="1">
      <c r="A19" s="43"/>
      <c r="B19" s="43"/>
      <c r="C19" s="43"/>
      <c r="D19" s="43"/>
      <c r="E19" s="43"/>
      <c r="F19" s="43"/>
      <c r="G19" s="43"/>
      <c r="H19" s="43"/>
      <c r="I19" s="43"/>
      <c r="J19" s="43"/>
      <c r="K19" s="43"/>
      <c r="L19" s="43"/>
      <c r="M19" s="43"/>
      <c r="N19" s="43"/>
      <c r="O19" s="43"/>
    </row>
    <row r="20" spans="1:15" ht="21" customHeight="1">
      <c r="A20" s="43"/>
      <c r="B20" s="43"/>
      <c r="C20" s="43"/>
      <c r="D20" s="77" t="s">
        <v>102</v>
      </c>
      <c r="E20" s="25">
        <f>'PHU LỤC '!J29</f>
        <v>712935000</v>
      </c>
      <c r="F20" s="265" t="s">
        <v>404</v>
      </c>
      <c r="G20" s="265"/>
      <c r="H20" s="43"/>
      <c r="I20" s="43"/>
      <c r="J20" s="43"/>
      <c r="K20" s="43"/>
      <c r="L20" s="43"/>
      <c r="M20" s="43"/>
      <c r="N20" s="43"/>
      <c r="O20" s="43"/>
    </row>
    <row r="21" spans="1:15" ht="21" customHeight="1">
      <c r="A21" s="43"/>
      <c r="B21" s="43"/>
      <c r="C21" s="43"/>
      <c r="D21" s="265" t="e">
        <f>TienBangChu(E20)</f>
        <v>#NAME?</v>
      </c>
      <c r="E21" s="265"/>
      <c r="F21" s="265"/>
      <c r="G21" s="265"/>
      <c r="H21" s="265"/>
      <c r="I21" s="265"/>
      <c r="J21" s="265"/>
      <c r="K21" s="265"/>
      <c r="L21" s="265"/>
      <c r="M21" s="265"/>
      <c r="N21" s="265"/>
      <c r="O21" s="43"/>
    </row>
    <row r="22" spans="1:15" ht="17.25" customHeight="1">
      <c r="A22" s="43"/>
      <c r="B22" s="43"/>
      <c r="C22" s="43"/>
      <c r="D22" s="43"/>
      <c r="E22" s="43"/>
      <c r="F22" s="43"/>
      <c r="G22" s="43"/>
      <c r="H22" s="43"/>
      <c r="I22" s="43"/>
      <c r="J22" s="43"/>
      <c r="K22" s="43"/>
      <c r="L22" s="43"/>
      <c r="M22" s="43"/>
      <c r="N22" s="43"/>
      <c r="O22" s="43"/>
    </row>
    <row r="23" spans="1:15" ht="17.25" customHeight="1">
      <c r="A23" s="43"/>
      <c r="B23" s="43"/>
      <c r="C23" s="43"/>
      <c r="D23" s="43"/>
      <c r="E23" s="43"/>
      <c r="F23" s="43"/>
      <c r="G23" s="43"/>
      <c r="H23" s="43"/>
      <c r="I23" s="43"/>
      <c r="J23" s="43"/>
      <c r="K23" s="43"/>
      <c r="L23" s="43"/>
      <c r="M23" s="43"/>
      <c r="N23" s="43"/>
      <c r="O23" s="43"/>
    </row>
    <row r="24" spans="1:15" ht="19.5" customHeight="1">
      <c r="A24" s="43"/>
      <c r="B24" s="43"/>
      <c r="C24" s="43"/>
      <c r="D24" s="43"/>
      <c r="E24" s="43"/>
      <c r="F24" s="43"/>
      <c r="G24" s="266" t="s">
        <v>112</v>
      </c>
      <c r="H24" s="266"/>
      <c r="I24" s="266"/>
      <c r="J24" s="266"/>
      <c r="K24" s="266"/>
      <c r="L24" s="266"/>
      <c r="M24" s="266"/>
      <c r="N24" s="266"/>
      <c r="O24" s="43"/>
    </row>
    <row r="25" spans="1:15" ht="19.5" customHeight="1">
      <c r="A25" s="43"/>
      <c r="B25" s="43"/>
      <c r="C25" s="43"/>
      <c r="D25" s="43"/>
      <c r="E25" s="43"/>
      <c r="F25" s="43"/>
      <c r="G25" s="234" t="s">
        <v>299</v>
      </c>
      <c r="H25" s="234"/>
      <c r="I25" s="234"/>
      <c r="J25" s="234"/>
      <c r="K25" s="234"/>
      <c r="L25" s="234"/>
      <c r="M25" s="234"/>
      <c r="N25" s="234"/>
      <c r="O25" s="43"/>
    </row>
    <row r="26" spans="1:15" ht="17.25" customHeight="1">
      <c r="A26" s="43"/>
      <c r="B26" s="43"/>
      <c r="C26" s="43"/>
      <c r="D26" s="43"/>
      <c r="E26" s="43"/>
      <c r="F26" s="43"/>
      <c r="G26" s="43"/>
      <c r="H26" s="43"/>
      <c r="I26" s="43"/>
      <c r="J26" s="43"/>
      <c r="K26" s="43"/>
      <c r="L26" s="43"/>
      <c r="M26" s="43"/>
      <c r="N26" s="43"/>
      <c r="O26" s="43"/>
    </row>
    <row r="27" spans="1:15" ht="17.25" customHeight="1">
      <c r="A27" s="43"/>
      <c r="B27" s="43"/>
      <c r="C27" s="43"/>
      <c r="D27" s="43"/>
      <c r="E27" s="43"/>
      <c r="F27" s="43"/>
      <c r="G27" s="43"/>
      <c r="H27" s="43"/>
      <c r="I27" s="43"/>
      <c r="J27" s="43"/>
      <c r="K27" s="43"/>
      <c r="L27" s="43"/>
      <c r="M27" s="43"/>
      <c r="N27" s="43"/>
      <c r="O27" s="43"/>
    </row>
    <row r="28" spans="1:15" ht="17.25" customHeight="1">
      <c r="A28" s="43"/>
      <c r="B28" s="43"/>
      <c r="C28" s="43"/>
      <c r="D28" s="43"/>
      <c r="E28" s="43"/>
      <c r="F28" s="43"/>
      <c r="G28" s="43"/>
      <c r="H28" s="43"/>
      <c r="I28" s="43"/>
      <c r="J28" s="43"/>
      <c r="K28" s="43"/>
      <c r="L28" s="43"/>
      <c r="M28" s="43"/>
      <c r="N28" s="43"/>
      <c r="O28" s="43"/>
    </row>
    <row r="29" spans="1:15" ht="17.25" customHeight="1">
      <c r="A29" s="43"/>
      <c r="B29" s="43"/>
      <c r="C29" s="43"/>
      <c r="D29" s="43"/>
      <c r="E29" s="43"/>
      <c r="F29" s="43"/>
      <c r="G29" s="43"/>
      <c r="H29" s="43"/>
      <c r="I29" s="43"/>
      <c r="J29" s="43"/>
      <c r="K29" s="43"/>
      <c r="L29" s="43"/>
      <c r="M29" s="43"/>
      <c r="N29" s="43"/>
      <c r="O29" s="43"/>
    </row>
    <row r="30" spans="1:15" ht="55.5" customHeight="1">
      <c r="A30" s="43"/>
      <c r="B30" s="43"/>
      <c r="C30" s="43"/>
      <c r="D30" s="43"/>
      <c r="E30" s="43"/>
      <c r="F30" s="43"/>
      <c r="G30" s="43"/>
      <c r="H30" s="43"/>
      <c r="I30" s="43"/>
      <c r="J30" s="43"/>
      <c r="K30" s="43"/>
      <c r="L30" s="43"/>
      <c r="M30" s="43"/>
      <c r="N30" s="43"/>
      <c r="O30" s="43"/>
    </row>
    <row r="31" spans="1:15" ht="19.5" customHeight="1">
      <c r="A31" s="98"/>
      <c r="B31" s="43"/>
      <c r="C31" s="43"/>
      <c r="D31" s="43"/>
      <c r="E31" s="43"/>
      <c r="F31" s="43"/>
      <c r="G31" s="266" t="s">
        <v>458</v>
      </c>
      <c r="H31" s="266"/>
      <c r="I31" s="266"/>
      <c r="J31" s="266"/>
      <c r="K31" s="266"/>
      <c r="L31" s="266"/>
      <c r="M31" s="266"/>
      <c r="N31" s="266"/>
      <c r="O31" s="43"/>
    </row>
    <row r="32" spans="1:15" ht="17.25" customHeight="1">
      <c r="A32" s="43"/>
      <c r="B32" s="43"/>
      <c r="C32" s="43"/>
      <c r="D32" s="43"/>
      <c r="E32" s="43"/>
      <c r="F32" s="43"/>
      <c r="G32" s="43"/>
      <c r="H32" s="43"/>
      <c r="I32" s="43"/>
      <c r="J32" s="43"/>
      <c r="K32" s="43"/>
      <c r="L32" s="43"/>
      <c r="M32" s="43"/>
      <c r="N32" s="43"/>
      <c r="O32" s="43"/>
    </row>
  </sheetData>
  <sheetProtection/>
  <mergeCells count="17">
    <mergeCell ref="F20:G20"/>
    <mergeCell ref="D21:N21"/>
    <mergeCell ref="G24:N24"/>
    <mergeCell ref="G25:N25"/>
    <mergeCell ref="G31:N31"/>
    <mergeCell ref="A5:D5"/>
    <mergeCell ref="A13:O13"/>
    <mergeCell ref="E15:O15"/>
    <mergeCell ref="E16:O16"/>
    <mergeCell ref="E17:O17"/>
    <mergeCell ref="E18:O18"/>
    <mergeCell ref="A2:D2"/>
    <mergeCell ref="F2:O2"/>
    <mergeCell ref="A3:D3"/>
    <mergeCell ref="F3:O3"/>
    <mergeCell ref="A4:D4"/>
    <mergeCell ref="F4:O4"/>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xml><?xml version="1.0" encoding="utf-8"?>
<worksheet xmlns="http://schemas.openxmlformats.org/spreadsheetml/2006/main" xmlns:r="http://schemas.openxmlformats.org/officeDocument/2006/relationships">
  <sheetPr>
    <tabColor rgb="FFFF0000"/>
  </sheetPr>
  <dimension ref="A1:L40"/>
  <sheetViews>
    <sheetView showZeros="0" tabSelected="1" zoomScalePageLayoutView="0" workbookViewId="0" topLeftCell="A15">
      <selection activeCell="L22" sqref="L22"/>
    </sheetView>
  </sheetViews>
  <sheetFormatPr defaultColWidth="9.140625" defaultRowHeight="15"/>
  <cols>
    <col min="1" max="1" width="6.28125" style="125" customWidth="1"/>
    <col min="2" max="2" width="40.00390625" style="125" customWidth="1"/>
    <col min="3" max="3" width="12.57421875" style="125" hidden="1" customWidth="1"/>
    <col min="4" max="4" width="14.00390625" style="125" hidden="1" customWidth="1"/>
    <col min="5" max="5" width="10.57421875" style="125" customWidth="1"/>
    <col min="6" max="6" width="5.421875" style="125" hidden="1" customWidth="1"/>
    <col min="7" max="7" width="28.00390625" style="125" customWidth="1"/>
    <col min="8" max="8" width="16.8515625" style="125" customWidth="1"/>
    <col min="9" max="9" width="14.7109375" style="125" customWidth="1"/>
    <col min="10" max="10" width="16.28125" style="125" customWidth="1"/>
    <col min="11" max="11" width="8.8515625" style="125" customWidth="1"/>
    <col min="12" max="12" width="36.140625" style="277" customWidth="1"/>
    <col min="13" max="16384" width="9.140625" style="125" customWidth="1"/>
  </cols>
  <sheetData>
    <row r="1" spans="1:11" ht="22.5" customHeight="1">
      <c r="A1" s="231" t="s">
        <v>555</v>
      </c>
      <c r="B1" s="231"/>
      <c r="C1" s="231"/>
      <c r="D1" s="231"/>
      <c r="E1" s="231"/>
      <c r="F1" s="231"/>
      <c r="G1" s="231"/>
      <c r="H1" s="231"/>
      <c r="I1" s="231"/>
      <c r="J1" s="231"/>
      <c r="K1" s="231"/>
    </row>
    <row r="2" spans="1:11" ht="18" customHeight="1" hidden="1">
      <c r="A2" s="232"/>
      <c r="B2" s="232"/>
      <c r="C2" s="232"/>
      <c r="D2" s="232"/>
      <c r="E2" s="232"/>
      <c r="F2" s="232"/>
      <c r="G2" s="232"/>
      <c r="H2" s="232"/>
      <c r="I2" s="232"/>
      <c r="J2" s="232"/>
      <c r="K2" s="232"/>
    </row>
    <row r="3" spans="1:11" ht="18" customHeight="1" hidden="1">
      <c r="A3" s="74"/>
      <c r="B3" s="43"/>
      <c r="C3" s="74"/>
      <c r="D3" s="74"/>
      <c r="E3" s="97"/>
      <c r="F3" s="97"/>
      <c r="G3" s="74"/>
      <c r="H3" s="233"/>
      <c r="I3" s="233"/>
      <c r="J3" s="233"/>
      <c r="K3" s="233"/>
    </row>
    <row r="4" spans="1:11" ht="19.5" customHeight="1">
      <c r="A4" s="234" t="str">
        <f>'Công trình'!A3</f>
        <v>CÔNG TRÌNH: ĐƯỜNG LÂM SINH XÃ HIỀN CHUNG, NAM ĐỘNG, PHÚ XUÂN, HUYỆN QUAN HÓA, TỈNH THANH HÓA</v>
      </c>
      <c r="B4" s="234"/>
      <c r="C4" s="234"/>
      <c r="D4" s="234"/>
      <c r="E4" s="234"/>
      <c r="F4" s="234"/>
      <c r="G4" s="234"/>
      <c r="H4" s="234"/>
      <c r="I4" s="234"/>
      <c r="J4" s="234"/>
      <c r="K4" s="234"/>
    </row>
    <row r="5" spans="1:11" ht="18.75" customHeight="1" hidden="1">
      <c r="A5" s="74"/>
      <c r="B5" s="123" t="s">
        <v>220</v>
      </c>
      <c r="C5" s="64"/>
      <c r="D5" s="64"/>
      <c r="E5" s="235" t="s">
        <v>24</v>
      </c>
      <c r="F5" s="235"/>
      <c r="G5" s="235"/>
      <c r="H5" s="97"/>
      <c r="I5" s="97"/>
      <c r="J5" s="97"/>
      <c r="K5" s="74"/>
    </row>
    <row r="6" spans="1:11" ht="18" customHeight="1" hidden="1">
      <c r="A6" s="74"/>
      <c r="B6" s="65" t="s">
        <v>37</v>
      </c>
      <c r="C6" s="149"/>
      <c r="D6" s="149"/>
      <c r="E6" s="236" t="s">
        <v>25</v>
      </c>
      <c r="F6" s="236"/>
      <c r="G6" s="236"/>
      <c r="H6" s="97"/>
      <c r="I6" s="97"/>
      <c r="J6" s="97"/>
      <c r="K6" s="74"/>
    </row>
    <row r="7" spans="1:11" ht="18" customHeight="1" hidden="1">
      <c r="A7" s="74"/>
      <c r="B7" s="65" t="s">
        <v>104</v>
      </c>
      <c r="C7" s="149"/>
      <c r="D7" s="149"/>
      <c r="E7" s="236" t="s">
        <v>419</v>
      </c>
      <c r="F7" s="236"/>
      <c r="G7" s="236"/>
      <c r="H7" s="97"/>
      <c r="I7" s="97"/>
      <c r="J7" s="97"/>
      <c r="K7" s="74"/>
    </row>
    <row r="8" spans="1:11" ht="18" customHeight="1" hidden="1">
      <c r="A8" s="74"/>
      <c r="B8" s="65" t="s">
        <v>451</v>
      </c>
      <c r="C8" s="149"/>
      <c r="D8" s="149"/>
      <c r="E8" s="236" t="s">
        <v>326</v>
      </c>
      <c r="F8" s="236"/>
      <c r="G8" s="236"/>
      <c r="H8" s="97"/>
      <c r="I8" s="97"/>
      <c r="J8" s="97"/>
      <c r="K8" s="74"/>
    </row>
    <row r="9" spans="1:11" ht="18" customHeight="1">
      <c r="A9" s="278" t="s">
        <v>556</v>
      </c>
      <c r="B9" s="278"/>
      <c r="C9" s="278"/>
      <c r="D9" s="278"/>
      <c r="E9" s="278"/>
      <c r="F9" s="278"/>
      <c r="G9" s="278"/>
      <c r="H9" s="278"/>
      <c r="I9" s="278"/>
      <c r="J9" s="278"/>
      <c r="K9" s="278"/>
    </row>
    <row r="10" spans="1:11" ht="18" customHeight="1">
      <c r="A10" s="74"/>
      <c r="B10" s="43"/>
      <c r="C10" s="74"/>
      <c r="D10" s="74"/>
      <c r="E10" s="97"/>
      <c r="F10" s="97"/>
      <c r="G10" s="74"/>
      <c r="H10" s="97"/>
      <c r="I10" s="97"/>
      <c r="J10" s="233" t="s">
        <v>280</v>
      </c>
      <c r="K10" s="233"/>
    </row>
    <row r="11" spans="1:11" ht="31.5" customHeight="1">
      <c r="A11" s="53" t="s">
        <v>279</v>
      </c>
      <c r="B11" s="7" t="s">
        <v>86</v>
      </c>
      <c r="C11" s="7" t="s">
        <v>338</v>
      </c>
      <c r="D11" s="7" t="s">
        <v>128</v>
      </c>
      <c r="E11" s="39" t="s">
        <v>337</v>
      </c>
      <c r="F11" s="7" t="s">
        <v>247</v>
      </c>
      <c r="G11" s="7" t="s">
        <v>101</v>
      </c>
      <c r="H11" s="92" t="s">
        <v>249</v>
      </c>
      <c r="I11" s="92" t="s">
        <v>84</v>
      </c>
      <c r="J11" s="92" t="s">
        <v>164</v>
      </c>
      <c r="K11" s="7" t="s">
        <v>432</v>
      </c>
    </row>
    <row r="12" spans="1:11" ht="28.5" customHeight="1">
      <c r="A12" s="72">
        <v>1</v>
      </c>
      <c r="B12" s="156" t="s">
        <v>275</v>
      </c>
      <c r="C12" s="31"/>
      <c r="D12" s="31"/>
      <c r="E12" s="5"/>
      <c r="F12" s="62"/>
      <c r="G12" s="31" t="s">
        <v>298</v>
      </c>
      <c r="H12" s="143">
        <f>SUM(H13:H15)</f>
        <v>539265567</v>
      </c>
      <c r="I12" s="143">
        <f>SUM(I13:I15)</f>
        <v>53926557</v>
      </c>
      <c r="J12" s="143">
        <f>ROUND(SUM(J13:J15),-3)</f>
        <v>593193000</v>
      </c>
      <c r="K12" s="31" t="s">
        <v>11</v>
      </c>
    </row>
    <row r="13" spans="1:11" ht="30">
      <c r="A13" s="30" t="s">
        <v>350</v>
      </c>
      <c r="B13" s="109" t="s">
        <v>533</v>
      </c>
      <c r="C13" s="146" t="s">
        <v>411</v>
      </c>
      <c r="D13" s="146" t="s">
        <v>411</v>
      </c>
      <c r="E13" s="122"/>
      <c r="F13" s="146">
        <v>1</v>
      </c>
      <c r="G13" s="146" t="s">
        <v>554</v>
      </c>
      <c r="H13" s="104">
        <f>'TH dự toán hạng mục'!D25</f>
        <v>188148955</v>
      </c>
      <c r="I13" s="104">
        <f>ROUND(H13*10%,0)</f>
        <v>18814896</v>
      </c>
      <c r="J13" s="104">
        <f>ROUND(H13+I13,-3)</f>
        <v>206964000</v>
      </c>
      <c r="K13" s="146"/>
    </row>
    <row r="14" spans="1:11" ht="30">
      <c r="A14" s="30" t="s">
        <v>244</v>
      </c>
      <c r="B14" s="109" t="s">
        <v>534</v>
      </c>
      <c r="C14" s="146"/>
      <c r="D14" s="146"/>
      <c r="E14" s="122"/>
      <c r="F14" s="146">
        <v>1</v>
      </c>
      <c r="G14" s="146" t="s">
        <v>553</v>
      </c>
      <c r="H14" s="104">
        <f>'[4]TH dự toán hạng mục'!$D$25</f>
        <v>245301419</v>
      </c>
      <c r="I14" s="104">
        <f>ROUND(H14*10%,0)</f>
        <v>24530142</v>
      </c>
      <c r="J14" s="104">
        <f>ROUND(H14+I14,-3)</f>
        <v>269832000</v>
      </c>
      <c r="K14" s="146"/>
    </row>
    <row r="15" spans="1:11" ht="30">
      <c r="A15" s="30" t="s">
        <v>535</v>
      </c>
      <c r="B15" s="109" t="s">
        <v>536</v>
      </c>
      <c r="C15" s="146"/>
      <c r="D15" s="146"/>
      <c r="E15" s="122"/>
      <c r="F15" s="146">
        <v>1</v>
      </c>
      <c r="G15" s="146" t="s">
        <v>553</v>
      </c>
      <c r="H15" s="104">
        <f>'[5]TH dự toán hạng mục'!$D$25</f>
        <v>105815193</v>
      </c>
      <c r="I15" s="104">
        <f>ROUND(H15*10%,0)</f>
        <v>10581519</v>
      </c>
      <c r="J15" s="104">
        <f>ROUND(H15+I15,-3)</f>
        <v>116397000</v>
      </c>
      <c r="K15" s="146"/>
    </row>
    <row r="16" spans="1:11" ht="18" customHeight="1">
      <c r="A16" s="72">
        <v>2</v>
      </c>
      <c r="B16" s="156" t="s">
        <v>329</v>
      </c>
      <c r="C16" s="31" t="s">
        <v>287</v>
      </c>
      <c r="D16" s="31" t="s">
        <v>8</v>
      </c>
      <c r="E16" s="160">
        <v>0.03024</v>
      </c>
      <c r="F16" s="62"/>
      <c r="G16" s="31" t="s">
        <v>542</v>
      </c>
      <c r="H16" s="143">
        <v>10000000</v>
      </c>
      <c r="I16" s="143"/>
      <c r="J16" s="143">
        <f>ROUND(H16+I16,-3)</f>
        <v>10000000</v>
      </c>
      <c r="K16" s="31" t="s">
        <v>126</v>
      </c>
    </row>
    <row r="17" spans="1:11" ht="17.25" customHeight="1">
      <c r="A17" s="72">
        <v>3</v>
      </c>
      <c r="B17" s="156" t="s">
        <v>160</v>
      </c>
      <c r="C17" s="31"/>
      <c r="D17" s="31"/>
      <c r="E17" s="5"/>
      <c r="F17" s="62"/>
      <c r="G17" s="31" t="s">
        <v>298</v>
      </c>
      <c r="H17" s="143">
        <f>H18+H22+H23</f>
        <v>98296524.72901</v>
      </c>
      <c r="I17" s="143">
        <f>I18+I22+I23</f>
        <v>9829652.8</v>
      </c>
      <c r="J17" s="143">
        <f>ROUND(H17+I17,-3)</f>
        <v>108126000</v>
      </c>
      <c r="K17" s="31" t="s">
        <v>440</v>
      </c>
    </row>
    <row r="18" spans="1:11" ht="15">
      <c r="A18" s="30">
        <v>1</v>
      </c>
      <c r="B18" s="109" t="s">
        <v>137</v>
      </c>
      <c r="C18" s="146" t="s">
        <v>207</v>
      </c>
      <c r="D18" s="146" t="s">
        <v>207</v>
      </c>
      <c r="E18" s="122"/>
      <c r="F18" s="18"/>
      <c r="G18" s="146" t="s">
        <v>298</v>
      </c>
      <c r="H18" s="171">
        <f>SUM(H19:H21)</f>
        <v>51903508</v>
      </c>
      <c r="I18" s="171">
        <f>SUM(I19:I21)</f>
        <v>5190350.800000001</v>
      </c>
      <c r="J18" s="171">
        <f>SUM(J19:J21)</f>
        <v>57093000</v>
      </c>
      <c r="K18" s="146"/>
    </row>
    <row r="19" spans="1:12" s="177" customFormat="1" ht="15">
      <c r="A19" s="172" t="s">
        <v>550</v>
      </c>
      <c r="B19" s="173" t="s">
        <v>533</v>
      </c>
      <c r="C19" s="174" t="s">
        <v>411</v>
      </c>
      <c r="D19" s="174" t="s">
        <v>411</v>
      </c>
      <c r="E19" s="175"/>
      <c r="F19" s="174"/>
      <c r="G19" s="174" t="s">
        <v>553</v>
      </c>
      <c r="H19" s="176">
        <f>'[1]TH dự toán hạng mục'!D$28</f>
        <v>17938501</v>
      </c>
      <c r="I19" s="176">
        <f>H19*10%</f>
        <v>1793850.1</v>
      </c>
      <c r="J19" s="176">
        <f>ROUND(H19+I19,-3)</f>
        <v>19732000</v>
      </c>
      <c r="K19" s="174"/>
      <c r="L19" s="211"/>
    </row>
    <row r="20" spans="1:12" s="177" customFormat="1" ht="15">
      <c r="A20" s="172" t="s">
        <v>551</v>
      </c>
      <c r="B20" s="173" t="s">
        <v>534</v>
      </c>
      <c r="C20" s="174"/>
      <c r="D20" s="174"/>
      <c r="E20" s="175"/>
      <c r="F20" s="174"/>
      <c r="G20" s="174" t="s">
        <v>553</v>
      </c>
      <c r="H20" s="176">
        <f>'[2]TH dự toán hạng mục'!D$28</f>
        <v>25117498</v>
      </c>
      <c r="I20" s="176">
        <f>H20*10%</f>
        <v>2511749.8000000003</v>
      </c>
      <c r="J20" s="176">
        <f>ROUND(H20+I20,-3)</f>
        <v>27629000</v>
      </c>
      <c r="K20" s="174"/>
      <c r="L20" s="211"/>
    </row>
    <row r="21" spans="1:12" s="177" customFormat="1" ht="15">
      <c r="A21" s="172" t="s">
        <v>552</v>
      </c>
      <c r="B21" s="173" t="s">
        <v>536</v>
      </c>
      <c r="C21" s="174"/>
      <c r="D21" s="174"/>
      <c r="E21" s="175"/>
      <c r="F21" s="174"/>
      <c r="G21" s="174" t="s">
        <v>553</v>
      </c>
      <c r="H21" s="176">
        <f>'[3]TH dự toán hạng mục'!D$28</f>
        <v>8847509</v>
      </c>
      <c r="I21" s="176">
        <f>H21*10%</f>
        <v>884750.9</v>
      </c>
      <c r="J21" s="176">
        <f>ROUND(H21+I21,-3)</f>
        <v>9732000</v>
      </c>
      <c r="K21" s="174"/>
      <c r="L21" s="211"/>
    </row>
    <row r="22" spans="1:11" ht="30">
      <c r="A22" s="30">
        <v>2</v>
      </c>
      <c r="B22" s="109" t="s">
        <v>543</v>
      </c>
      <c r="C22" s="146" t="s">
        <v>300</v>
      </c>
      <c r="D22" s="146" t="s">
        <v>472</v>
      </c>
      <c r="E22" s="108">
        <v>0.054</v>
      </c>
      <c r="F22" s="18"/>
      <c r="G22" s="146" t="s">
        <v>542</v>
      </c>
      <c r="H22" s="104">
        <f>H12*E22</f>
        <v>29120340.618</v>
      </c>
      <c r="I22" s="104">
        <f>ROUND(H22*'Hệ số'!C10,0)</f>
        <v>2912034</v>
      </c>
      <c r="J22" s="104">
        <f>ROUND(H22+I22,0)</f>
        <v>32032375</v>
      </c>
      <c r="K22" s="146"/>
    </row>
    <row r="23" spans="1:11" ht="30">
      <c r="A23" s="30">
        <v>3</v>
      </c>
      <c r="B23" s="109" t="s">
        <v>544</v>
      </c>
      <c r="C23" s="146" t="s">
        <v>366</v>
      </c>
      <c r="D23" s="146" t="s">
        <v>85</v>
      </c>
      <c r="E23" s="116">
        <v>0.03203</v>
      </c>
      <c r="F23" s="18"/>
      <c r="G23" s="146" t="s">
        <v>349</v>
      </c>
      <c r="H23" s="104">
        <f>H12*E23</f>
        <v>17272676.11101</v>
      </c>
      <c r="I23" s="104">
        <f>ROUND(H23*'Hệ số'!C10,0)</f>
        <v>1727268</v>
      </c>
      <c r="J23" s="104">
        <f>ROUND(H23+I23,0)</f>
        <v>18999944</v>
      </c>
      <c r="K23" s="146"/>
    </row>
    <row r="24" spans="1:11" ht="17.25" customHeight="1">
      <c r="A24" s="72">
        <v>4</v>
      </c>
      <c r="B24" s="156" t="s">
        <v>147</v>
      </c>
      <c r="C24" s="31"/>
      <c r="D24" s="31"/>
      <c r="E24" s="5"/>
      <c r="F24" s="62"/>
      <c r="G24" s="31" t="s">
        <v>298</v>
      </c>
      <c r="H24" s="143">
        <f>SUM(H25:H27)</f>
        <v>1606039.45773</v>
      </c>
      <c r="I24" s="143">
        <f>SUM(I25:I27)</f>
        <v>10246.045773000002</v>
      </c>
      <c r="J24" s="143">
        <f>ROUND(H24+I24,-3)</f>
        <v>1616000</v>
      </c>
      <c r="K24" s="31" t="s">
        <v>214</v>
      </c>
    </row>
    <row r="25" spans="1:11" ht="15">
      <c r="A25" s="30">
        <v>1</v>
      </c>
      <c r="B25" s="109" t="s">
        <v>549</v>
      </c>
      <c r="C25" s="146" t="s">
        <v>64</v>
      </c>
      <c r="D25" s="146" t="s">
        <v>123</v>
      </c>
      <c r="E25" s="116">
        <v>0.00019</v>
      </c>
      <c r="F25" s="18"/>
      <c r="G25" s="146" t="s">
        <v>230</v>
      </c>
      <c r="H25" s="104">
        <f>E25*H12</f>
        <v>102460.45773000001</v>
      </c>
      <c r="I25" s="104">
        <f>H25*0.1</f>
        <v>10246.045773000002</v>
      </c>
      <c r="J25" s="104">
        <f>ROUND(H25+I25,0)</f>
        <v>112707</v>
      </c>
      <c r="K25" s="146"/>
    </row>
    <row r="26" spans="1:11" ht="30">
      <c r="A26" s="30">
        <v>2</v>
      </c>
      <c r="B26" s="109" t="s">
        <v>291</v>
      </c>
      <c r="C26" s="146" t="s">
        <v>294</v>
      </c>
      <c r="D26" s="146" t="s">
        <v>7</v>
      </c>
      <c r="E26" s="68">
        <v>0.0057</v>
      </c>
      <c r="F26" s="18"/>
      <c r="G26" s="146" t="s">
        <v>83</v>
      </c>
      <c r="H26" s="104">
        <f>MAX(ROUND((263785853)*E26,0),IF(E26&gt;0,500000,0))</f>
        <v>1503579</v>
      </c>
      <c r="I26" s="104"/>
      <c r="J26" s="104">
        <f>H26</f>
        <v>1503579</v>
      </c>
      <c r="K26" s="146"/>
    </row>
    <row r="27" spans="1:11" ht="15" hidden="1">
      <c r="A27" s="30"/>
      <c r="B27" s="109"/>
      <c r="C27" s="146"/>
      <c r="D27" s="146"/>
      <c r="E27" s="54"/>
      <c r="F27" s="18"/>
      <c r="G27" s="146"/>
      <c r="H27" s="104"/>
      <c r="I27" s="104"/>
      <c r="J27" s="104"/>
      <c r="K27" s="146"/>
    </row>
    <row r="28" spans="1:11" ht="15">
      <c r="A28" s="30"/>
      <c r="B28" s="31" t="s">
        <v>19</v>
      </c>
      <c r="C28" s="146"/>
      <c r="D28" s="146"/>
      <c r="E28" s="122"/>
      <c r="F28" s="18"/>
      <c r="G28" s="146" t="s">
        <v>298</v>
      </c>
      <c r="H28" s="143">
        <f>H24+H17+H16+H12</f>
        <v>649168131.18674</v>
      </c>
      <c r="I28" s="143">
        <f>I24+I17+I16+I12</f>
        <v>63766455.845773</v>
      </c>
      <c r="J28" s="143">
        <f>ROUND(H28+I28,-3)</f>
        <v>712935000</v>
      </c>
      <c r="K28" s="31" t="s">
        <v>407</v>
      </c>
    </row>
    <row r="29" spans="1:11" ht="15">
      <c r="A29" s="100"/>
      <c r="B29" s="101" t="s">
        <v>386</v>
      </c>
      <c r="C29" s="69"/>
      <c r="D29" s="69"/>
      <c r="E29" s="49"/>
      <c r="F29" s="93"/>
      <c r="G29" s="69"/>
      <c r="H29" s="33"/>
      <c r="I29" s="33"/>
      <c r="J29" s="73">
        <f>ROUND(J28,-3)</f>
        <v>712935000</v>
      </c>
      <c r="K29" s="69"/>
    </row>
    <row r="30" spans="1:11" ht="18.75" customHeight="1">
      <c r="A30" s="239" t="s">
        <v>540</v>
      </c>
      <c r="B30" s="239"/>
      <c r="C30" s="239"/>
      <c r="D30" s="239"/>
      <c r="E30" s="239"/>
      <c r="F30" s="239"/>
      <c r="G30" s="239"/>
      <c r="H30" s="239"/>
      <c r="I30" s="239"/>
      <c r="J30" s="239"/>
      <c r="K30" s="239"/>
    </row>
    <row r="31" spans="1:11" ht="16.5" customHeight="1">
      <c r="A31" s="74"/>
      <c r="B31" s="43"/>
      <c r="C31" s="74"/>
      <c r="D31" s="74"/>
      <c r="E31" s="97"/>
      <c r="F31" s="97"/>
      <c r="G31" s="74"/>
      <c r="H31" s="97"/>
      <c r="I31" s="97"/>
      <c r="J31" s="97"/>
      <c r="K31" s="74"/>
    </row>
    <row r="32" spans="1:11" ht="18" customHeight="1">
      <c r="A32" s="74"/>
      <c r="B32" s="103"/>
      <c r="C32" s="74"/>
      <c r="D32" s="74"/>
      <c r="E32" s="97"/>
      <c r="F32" s="97"/>
      <c r="G32" s="74"/>
      <c r="H32" s="97"/>
      <c r="I32" s="240"/>
      <c r="J32" s="240"/>
      <c r="K32" s="240"/>
    </row>
    <row r="33" spans="1:11" ht="16.5" customHeight="1">
      <c r="A33" s="74"/>
      <c r="B33" s="43"/>
      <c r="C33" s="74"/>
      <c r="D33" s="74"/>
      <c r="E33" s="97"/>
      <c r="F33" s="97"/>
      <c r="G33" s="74"/>
      <c r="H33" s="97"/>
      <c r="I33" s="162"/>
      <c r="J33" s="162"/>
      <c r="K33" s="161"/>
    </row>
    <row r="34" spans="1:11" ht="16.5" customHeight="1">
      <c r="A34" s="74"/>
      <c r="B34" s="43"/>
      <c r="C34" s="74"/>
      <c r="D34" s="74"/>
      <c r="E34" s="97"/>
      <c r="F34" s="97"/>
      <c r="G34" s="74"/>
      <c r="H34" s="97"/>
      <c r="I34" s="162"/>
      <c r="J34" s="162"/>
      <c r="K34" s="161"/>
    </row>
    <row r="35" spans="1:11" ht="16.5" customHeight="1">
      <c r="A35" s="74"/>
      <c r="B35" s="43"/>
      <c r="C35" s="74"/>
      <c r="D35" s="74"/>
      <c r="E35" s="97"/>
      <c r="F35" s="97"/>
      <c r="G35" s="74"/>
      <c r="H35" s="97"/>
      <c r="I35" s="162"/>
      <c r="J35" s="162"/>
      <c r="K35" s="161"/>
    </row>
    <row r="36" spans="1:11" ht="16.5" customHeight="1">
      <c r="A36" s="74"/>
      <c r="B36" s="43"/>
      <c r="C36" s="74"/>
      <c r="D36" s="74"/>
      <c r="E36" s="97"/>
      <c r="F36" s="97"/>
      <c r="G36" s="74"/>
      <c r="H36" s="97"/>
      <c r="I36" s="162"/>
      <c r="J36" s="162"/>
      <c r="K36" s="161"/>
    </row>
    <row r="37" spans="1:11" ht="18" customHeight="1">
      <c r="A37" s="74"/>
      <c r="B37" s="74"/>
      <c r="C37" s="74"/>
      <c r="D37" s="74"/>
      <c r="E37" s="97"/>
      <c r="F37" s="97"/>
      <c r="G37" s="74"/>
      <c r="H37" s="97"/>
      <c r="I37" s="238"/>
      <c r="J37" s="238"/>
      <c r="K37" s="238"/>
    </row>
    <row r="38" spans="1:11" ht="18" customHeight="1">
      <c r="A38" s="74"/>
      <c r="B38" s="74"/>
      <c r="C38" s="74"/>
      <c r="D38" s="74"/>
      <c r="E38" s="97"/>
      <c r="F38" s="97"/>
      <c r="G38" s="74"/>
      <c r="H38" s="97"/>
      <c r="I38" s="237"/>
      <c r="J38" s="237"/>
      <c r="K38" s="237"/>
    </row>
    <row r="39" spans="1:11" ht="18" customHeight="1">
      <c r="A39" s="74"/>
      <c r="B39" s="43"/>
      <c r="C39" s="74"/>
      <c r="D39" s="74"/>
      <c r="E39" s="97"/>
      <c r="F39" s="97"/>
      <c r="G39" s="74"/>
      <c r="H39" s="97"/>
      <c r="I39" s="238"/>
      <c r="J39" s="238"/>
      <c r="K39" s="238"/>
    </row>
    <row r="40" spans="1:11" ht="16.5" customHeight="1">
      <c r="A40" s="74"/>
      <c r="B40" s="43"/>
      <c r="C40" s="74"/>
      <c r="D40" s="74"/>
      <c r="E40" s="97"/>
      <c r="F40" s="97"/>
      <c r="G40" s="74"/>
      <c r="H40" s="97"/>
      <c r="I40" s="97"/>
      <c r="J40" s="97"/>
      <c r="K40" s="74"/>
    </row>
  </sheetData>
  <sheetProtection/>
  <mergeCells count="15">
    <mergeCell ref="I38:K38"/>
    <mergeCell ref="I39:K39"/>
    <mergeCell ref="E7:G7"/>
    <mergeCell ref="E8:G8"/>
    <mergeCell ref="J10:K10"/>
    <mergeCell ref="A30:K30"/>
    <mergeCell ref="I32:K32"/>
    <mergeCell ref="I37:K37"/>
    <mergeCell ref="A9:K9"/>
    <mergeCell ref="A1:K1"/>
    <mergeCell ref="A2:K2"/>
    <mergeCell ref="H3:K3"/>
    <mergeCell ref="A4:K4"/>
    <mergeCell ref="E5:G5"/>
    <mergeCell ref="E6:G6"/>
  </mergeCells>
  <printOptions horizontalCentered="1"/>
  <pageMargins left="0.3" right="0.2" top="0.3" bottom="0.2" header="0.3" footer="0.3"/>
  <pageSetup horizontalDpi="600" verticalDpi="600" orientation="landscape" paperSize="9" r:id="rId3"/>
  <headerFooter alignWithMargins="0">
    <oddHeader>&amp;L&amp;BDự toán F1</oddHeader>
  </headerFooter>
  <legacyDrawing r:id="rId2"/>
</worksheet>
</file>

<file path=xl/worksheets/sheet20.xml><?xml version="1.0" encoding="utf-8"?>
<worksheet xmlns="http://schemas.openxmlformats.org/spreadsheetml/2006/main" xmlns:r="http://schemas.openxmlformats.org/officeDocument/2006/relationships">
  <dimension ref="A1:O24"/>
  <sheetViews>
    <sheetView showZeros="0" zoomScalePageLayoutView="0" workbookViewId="0" topLeftCell="A1">
      <selection activeCell="A1" sqref="A1"/>
    </sheetView>
  </sheetViews>
  <sheetFormatPr defaultColWidth="9.140625" defaultRowHeight="15"/>
  <cols>
    <col min="1" max="1" width="8.57421875" style="125" customWidth="1"/>
    <col min="2" max="9" width="7.28125" style="125" customWidth="1"/>
    <col min="10" max="10" width="9.140625" style="125" customWidth="1"/>
    <col min="11" max="14" width="7.28125" style="125" customWidth="1"/>
    <col min="15" max="15" width="8.421875" style="125" customWidth="1"/>
    <col min="16" max="16384" width="9.140625" style="125" customWidth="1"/>
  </cols>
  <sheetData>
    <row r="1" spans="1:15" ht="18" customHeight="1">
      <c r="A1" s="43"/>
      <c r="B1" s="43"/>
      <c r="C1" s="43"/>
      <c r="D1" s="43"/>
      <c r="E1" s="43"/>
      <c r="F1" s="43"/>
      <c r="G1" s="43"/>
      <c r="H1" s="43"/>
      <c r="I1" s="43"/>
      <c r="J1" s="43"/>
      <c r="K1" s="43"/>
      <c r="L1" s="43"/>
      <c r="M1" s="43"/>
      <c r="N1" s="43"/>
      <c r="O1" s="43"/>
    </row>
    <row r="2" spans="1:15" ht="18" customHeight="1">
      <c r="A2" s="43"/>
      <c r="B2" s="43"/>
      <c r="C2" s="43"/>
      <c r="D2" s="43"/>
      <c r="E2" s="43"/>
      <c r="F2" s="43"/>
      <c r="G2" s="43"/>
      <c r="H2" s="43"/>
      <c r="I2" s="43"/>
      <c r="J2" s="43"/>
      <c r="K2" s="43"/>
      <c r="L2" s="43"/>
      <c r="M2" s="43"/>
      <c r="N2" s="43"/>
      <c r="O2" s="43"/>
    </row>
    <row r="3" spans="1:15" ht="18" customHeight="1">
      <c r="A3" s="43"/>
      <c r="B3" s="43"/>
      <c r="C3" s="43"/>
      <c r="D3" s="43"/>
      <c r="E3" s="43"/>
      <c r="F3" s="43"/>
      <c r="G3" s="43"/>
      <c r="H3" s="43"/>
      <c r="I3" s="43"/>
      <c r="J3" s="43"/>
      <c r="K3" s="43"/>
      <c r="L3" s="43"/>
      <c r="M3" s="43"/>
      <c r="N3" s="43"/>
      <c r="O3" s="43"/>
    </row>
    <row r="4" spans="1:15" ht="18" customHeight="1">
      <c r="A4" s="43"/>
      <c r="B4" s="43"/>
      <c r="C4" s="43"/>
      <c r="D4" s="43"/>
      <c r="E4" s="43"/>
      <c r="F4" s="43"/>
      <c r="G4" s="43"/>
      <c r="H4" s="43"/>
      <c r="I4" s="43"/>
      <c r="J4" s="43"/>
      <c r="K4" s="43"/>
      <c r="L4" s="43"/>
      <c r="M4" s="43"/>
      <c r="N4" s="43"/>
      <c r="O4" s="43"/>
    </row>
    <row r="5" spans="1:15" ht="18" customHeight="1">
      <c r="A5" s="43"/>
      <c r="B5" s="43"/>
      <c r="C5" s="43"/>
      <c r="D5" s="43"/>
      <c r="E5" s="43"/>
      <c r="F5" s="43"/>
      <c r="G5" s="43"/>
      <c r="H5" s="43"/>
      <c r="I5" s="43"/>
      <c r="J5" s="43"/>
      <c r="K5" s="43"/>
      <c r="L5" s="43"/>
      <c r="M5" s="43"/>
      <c r="N5" s="43"/>
      <c r="O5" s="43"/>
    </row>
    <row r="6" spans="1:15" ht="18" customHeight="1">
      <c r="A6" s="43"/>
      <c r="B6" s="43"/>
      <c r="C6" s="43"/>
      <c r="D6" s="43"/>
      <c r="E6" s="43"/>
      <c r="F6" s="43"/>
      <c r="G6" s="43"/>
      <c r="H6" s="43"/>
      <c r="I6" s="43"/>
      <c r="J6" s="43"/>
      <c r="K6" s="43"/>
      <c r="L6" s="43"/>
      <c r="M6" s="43"/>
      <c r="N6" s="43"/>
      <c r="O6" s="43"/>
    </row>
    <row r="7" spans="1:15" ht="18" customHeight="1">
      <c r="A7" s="43"/>
      <c r="B7" s="43"/>
      <c r="C7" s="43"/>
      <c r="D7" s="43"/>
      <c r="E7" s="43"/>
      <c r="F7" s="43"/>
      <c r="G7" s="43"/>
      <c r="H7" s="43"/>
      <c r="I7" s="43"/>
      <c r="J7" s="43"/>
      <c r="K7" s="43"/>
      <c r="L7" s="43"/>
      <c r="M7" s="43"/>
      <c r="N7" s="43"/>
      <c r="O7" s="43"/>
    </row>
    <row r="8" spans="1:15" ht="18" customHeight="1">
      <c r="A8" s="43"/>
      <c r="B8" s="43"/>
      <c r="C8" s="43"/>
      <c r="D8" s="43"/>
      <c r="E8" s="43"/>
      <c r="F8" s="43"/>
      <c r="G8" s="43"/>
      <c r="H8" s="43"/>
      <c r="I8" s="43"/>
      <c r="J8" s="43"/>
      <c r="K8" s="43"/>
      <c r="L8" s="43"/>
      <c r="M8" s="43"/>
      <c r="N8" s="43"/>
      <c r="O8" s="43"/>
    </row>
    <row r="9" spans="1:15" ht="18" customHeight="1">
      <c r="A9" s="43"/>
      <c r="B9" s="43"/>
      <c r="C9" s="43"/>
      <c r="D9" s="43"/>
      <c r="E9" s="43"/>
      <c r="F9" s="43"/>
      <c r="G9" s="43"/>
      <c r="H9" s="43"/>
      <c r="I9" s="43"/>
      <c r="J9" s="43"/>
      <c r="K9" s="43"/>
      <c r="L9" s="43"/>
      <c r="M9" s="43"/>
      <c r="N9" s="43"/>
      <c r="O9" s="43"/>
    </row>
    <row r="10" spans="1:15" ht="18" customHeight="1">
      <c r="A10" s="43"/>
      <c r="B10" s="43"/>
      <c r="C10" s="43"/>
      <c r="D10" s="43"/>
      <c r="E10" s="43"/>
      <c r="F10" s="43"/>
      <c r="G10" s="43"/>
      <c r="H10" s="43"/>
      <c r="I10" s="43"/>
      <c r="J10" s="43"/>
      <c r="K10" s="43"/>
      <c r="L10" s="43"/>
      <c r="M10" s="43"/>
      <c r="N10" s="43"/>
      <c r="O10" s="43"/>
    </row>
    <row r="11" spans="1:15" ht="18" customHeight="1">
      <c r="A11" s="43"/>
      <c r="B11" s="43"/>
      <c r="C11" s="43"/>
      <c r="D11" s="43"/>
      <c r="E11" s="43"/>
      <c r="F11" s="43"/>
      <c r="G11" s="43"/>
      <c r="H11" s="43"/>
      <c r="I11" s="43"/>
      <c r="J11" s="43"/>
      <c r="K11" s="43"/>
      <c r="L11" s="43"/>
      <c r="M11" s="43"/>
      <c r="N11" s="43"/>
      <c r="O11" s="43"/>
    </row>
    <row r="12" spans="1:15" ht="18" customHeight="1">
      <c r="A12" s="43"/>
      <c r="B12" s="43"/>
      <c r="C12" s="43"/>
      <c r="D12" s="43"/>
      <c r="E12" s="43"/>
      <c r="F12" s="43"/>
      <c r="G12" s="43"/>
      <c r="H12" s="43"/>
      <c r="I12" s="43"/>
      <c r="J12" s="43"/>
      <c r="K12" s="43"/>
      <c r="L12" s="43"/>
      <c r="M12" s="43"/>
      <c r="N12" s="43"/>
      <c r="O12" s="43"/>
    </row>
    <row r="13" spans="1:15" ht="18" customHeight="1">
      <c r="A13" s="43"/>
      <c r="B13" s="43"/>
      <c r="C13" s="43"/>
      <c r="D13" s="43"/>
      <c r="E13" s="43"/>
      <c r="F13" s="43"/>
      <c r="G13" s="43"/>
      <c r="H13" s="43"/>
      <c r="I13" s="43"/>
      <c r="J13" s="43"/>
      <c r="K13" s="43"/>
      <c r="L13" s="43"/>
      <c r="M13" s="43"/>
      <c r="N13" s="43"/>
      <c r="O13" s="43"/>
    </row>
    <row r="14" spans="1:15" ht="18" customHeight="1">
      <c r="A14" s="43"/>
      <c r="B14" s="43"/>
      <c r="C14" s="43"/>
      <c r="D14" s="43"/>
      <c r="E14" s="43"/>
      <c r="F14" s="43"/>
      <c r="G14" s="43"/>
      <c r="H14" s="43"/>
      <c r="I14" s="43"/>
      <c r="J14" s="43"/>
      <c r="K14" s="43"/>
      <c r="L14" s="43"/>
      <c r="M14" s="43"/>
      <c r="N14" s="43"/>
      <c r="O14" s="43"/>
    </row>
    <row r="15" spans="1:15" ht="18" customHeight="1">
      <c r="A15" s="43"/>
      <c r="B15" s="43"/>
      <c r="C15" s="43"/>
      <c r="D15" s="43"/>
      <c r="E15" s="43"/>
      <c r="F15" s="43"/>
      <c r="G15" s="43"/>
      <c r="H15" s="43"/>
      <c r="I15" s="43"/>
      <c r="J15" s="43"/>
      <c r="K15" s="43"/>
      <c r="L15" s="43"/>
      <c r="M15" s="43"/>
      <c r="N15" s="43"/>
      <c r="O15" s="43"/>
    </row>
    <row r="16" spans="1:15" ht="18" customHeight="1">
      <c r="A16" s="43"/>
      <c r="B16" s="43"/>
      <c r="C16" s="43"/>
      <c r="D16" s="43"/>
      <c r="E16" s="43"/>
      <c r="F16" s="43"/>
      <c r="G16" s="43"/>
      <c r="H16" s="43"/>
      <c r="I16" s="43"/>
      <c r="J16" s="43"/>
      <c r="K16" s="43"/>
      <c r="L16" s="43"/>
      <c r="M16" s="43"/>
      <c r="N16" s="43"/>
      <c r="O16" s="43"/>
    </row>
    <row r="17" spans="1:15" ht="18" customHeight="1">
      <c r="A17" s="43"/>
      <c r="B17" s="43"/>
      <c r="C17" s="43"/>
      <c r="D17" s="43"/>
      <c r="E17" s="43"/>
      <c r="F17" s="43"/>
      <c r="G17" s="43"/>
      <c r="H17" s="43"/>
      <c r="I17" s="43"/>
      <c r="J17" s="43"/>
      <c r="K17" s="43"/>
      <c r="L17" s="43"/>
      <c r="M17" s="43"/>
      <c r="N17" s="43"/>
      <c r="O17" s="43"/>
    </row>
    <row r="18" spans="1:15" ht="18" customHeight="1">
      <c r="A18" s="43"/>
      <c r="B18" s="43"/>
      <c r="C18" s="43"/>
      <c r="D18" s="43"/>
      <c r="E18" s="43"/>
      <c r="F18" s="43"/>
      <c r="G18" s="43"/>
      <c r="H18" s="43"/>
      <c r="I18" s="43"/>
      <c r="J18" s="43"/>
      <c r="K18" s="43"/>
      <c r="L18" s="43"/>
      <c r="M18" s="43"/>
      <c r="N18" s="43"/>
      <c r="O18" s="43"/>
    </row>
    <row r="19" spans="1:15" ht="18" customHeight="1">
      <c r="A19" s="43"/>
      <c r="B19" s="43"/>
      <c r="C19" s="43"/>
      <c r="D19" s="43"/>
      <c r="E19" s="43"/>
      <c r="F19" s="43"/>
      <c r="G19" s="43"/>
      <c r="H19" s="43"/>
      <c r="I19" s="43"/>
      <c r="J19" s="43"/>
      <c r="K19" s="43"/>
      <c r="L19" s="43"/>
      <c r="M19" s="43"/>
      <c r="N19" s="43"/>
      <c r="O19" s="43"/>
    </row>
    <row r="20" spans="1:15" ht="18" customHeight="1">
      <c r="A20" s="43"/>
      <c r="B20" s="43"/>
      <c r="C20" s="43"/>
      <c r="D20" s="43"/>
      <c r="E20" s="43"/>
      <c r="F20" s="43"/>
      <c r="G20" s="43"/>
      <c r="H20" s="43"/>
      <c r="I20" s="43"/>
      <c r="J20" s="43"/>
      <c r="K20" s="43"/>
      <c r="L20" s="43"/>
      <c r="M20" s="43"/>
      <c r="N20" s="43"/>
      <c r="O20" s="43"/>
    </row>
    <row r="21" spans="1:15" ht="18" customHeight="1">
      <c r="A21" s="43"/>
      <c r="B21" s="43"/>
      <c r="C21" s="43"/>
      <c r="D21" s="43"/>
      <c r="E21" s="43"/>
      <c r="F21" s="43"/>
      <c r="G21" s="43"/>
      <c r="H21" s="43"/>
      <c r="I21" s="43"/>
      <c r="J21" s="43"/>
      <c r="K21" s="43"/>
      <c r="L21" s="43"/>
      <c r="M21" s="43"/>
      <c r="N21" s="43"/>
      <c r="O21" s="43"/>
    </row>
    <row r="22" spans="1:15" ht="18" customHeight="1">
      <c r="A22" s="43"/>
      <c r="B22" s="43"/>
      <c r="C22" s="43"/>
      <c r="D22" s="43"/>
      <c r="E22" s="43"/>
      <c r="F22" s="43"/>
      <c r="G22" s="43"/>
      <c r="H22" s="43"/>
      <c r="I22" s="43"/>
      <c r="J22" s="43"/>
      <c r="K22" s="43"/>
      <c r="L22" s="43"/>
      <c r="M22" s="43"/>
      <c r="N22" s="43"/>
      <c r="O22" s="43"/>
    </row>
    <row r="23" spans="1:15" ht="18" customHeight="1">
      <c r="A23" s="43"/>
      <c r="B23" s="43"/>
      <c r="C23" s="43"/>
      <c r="D23" s="43"/>
      <c r="E23" s="43"/>
      <c r="F23" s="43"/>
      <c r="G23" s="43"/>
      <c r="H23" s="43"/>
      <c r="I23" s="43"/>
      <c r="J23" s="43"/>
      <c r="K23" s="43"/>
      <c r="L23" s="43"/>
      <c r="M23" s="43"/>
      <c r="N23" s="43"/>
      <c r="O23" s="43"/>
    </row>
    <row r="24" spans="1:15" ht="18" customHeight="1">
      <c r="A24" s="43"/>
      <c r="B24" s="43"/>
      <c r="C24" s="43"/>
      <c r="D24" s="43"/>
      <c r="E24" s="43"/>
      <c r="F24" s="43"/>
      <c r="G24" s="43"/>
      <c r="H24" s="43"/>
      <c r="I24" s="43"/>
      <c r="J24" s="43"/>
      <c r="K24" s="43"/>
      <c r="L24" s="43"/>
      <c r="M24" s="43"/>
      <c r="N24" s="43"/>
      <c r="O24" s="43"/>
    </row>
  </sheetData>
  <sheetProtection/>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1.xml><?xml version="1.0" encoding="utf-8"?>
<worksheet xmlns="http://schemas.openxmlformats.org/spreadsheetml/2006/main" xmlns:r="http://schemas.openxmlformats.org/officeDocument/2006/relationships">
  <dimension ref="A1:A1"/>
  <sheetViews>
    <sheetView showZeros="0" zoomScalePageLayoutView="0" workbookViewId="0" topLeftCell="A1">
      <selection activeCell="A1" sqref="A1"/>
    </sheetView>
  </sheetViews>
  <sheetFormatPr defaultColWidth="9.140625" defaultRowHeight="15"/>
  <cols>
    <col min="1" max="16384" width="9.140625" style="125" customWidth="1"/>
  </cols>
  <sheetData/>
  <sheetProtection/>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2.xml><?xml version="1.0" encoding="utf-8"?>
<worksheet xmlns="http://schemas.openxmlformats.org/spreadsheetml/2006/main" xmlns:r="http://schemas.openxmlformats.org/officeDocument/2006/relationships">
  <dimension ref="A1:A1"/>
  <sheetViews>
    <sheetView showZeros="0" zoomScalePageLayoutView="0" workbookViewId="0" topLeftCell="A1">
      <selection activeCell="A1" sqref="A1"/>
    </sheetView>
  </sheetViews>
  <sheetFormatPr defaultColWidth="9.140625" defaultRowHeight="15"/>
  <cols>
    <col min="1" max="16384" width="9.140625" style="125" customWidth="1"/>
  </cols>
  <sheetData/>
  <sheetProtection/>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3.xml><?xml version="1.0" encoding="utf-8"?>
<worksheet xmlns="http://schemas.openxmlformats.org/spreadsheetml/2006/main" xmlns:r="http://schemas.openxmlformats.org/officeDocument/2006/relationships">
  <dimension ref="A1:A1"/>
  <sheetViews>
    <sheetView showZeros="0" zoomScalePageLayoutView="0" workbookViewId="0" topLeftCell="A1">
      <selection activeCell="A1" sqref="A1"/>
    </sheetView>
  </sheetViews>
  <sheetFormatPr defaultColWidth="9.140625" defaultRowHeight="15"/>
  <cols>
    <col min="1" max="16384" width="9.140625" style="125" customWidth="1"/>
  </cols>
  <sheetData/>
  <sheetProtection/>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4.xml><?xml version="1.0" encoding="utf-8"?>
<worksheet xmlns="http://schemas.openxmlformats.org/spreadsheetml/2006/main" xmlns:r="http://schemas.openxmlformats.org/officeDocument/2006/relationships">
  <dimension ref="A1:Q8"/>
  <sheetViews>
    <sheetView showZeros="0" zoomScalePageLayoutView="0" workbookViewId="0" topLeftCell="A1">
      <selection activeCell="A1" sqref="A1:Q1"/>
    </sheetView>
  </sheetViews>
  <sheetFormatPr defaultColWidth="9.140625" defaultRowHeight="15"/>
  <cols>
    <col min="1" max="1" width="6.140625" style="125" customWidth="1"/>
    <col min="2" max="2" width="10.8515625" style="125" customWidth="1"/>
    <col min="3" max="3" width="11.140625" style="125" hidden="1" customWidth="1"/>
    <col min="4" max="4" width="29.28125" style="125" customWidth="1"/>
    <col min="5" max="5" width="8.28125" style="125" customWidth="1"/>
    <col min="6" max="6" width="36.8515625" style="125" customWidth="1"/>
    <col min="7" max="7" width="13.57421875" style="125" customWidth="1"/>
    <col min="8" max="8" width="8.421875" style="125" customWidth="1"/>
    <col min="9" max="9" width="8.8515625" style="125" customWidth="1"/>
    <col min="10" max="10" width="9.140625" style="125" customWidth="1"/>
    <col min="11" max="11" width="11.140625" style="125" customWidth="1"/>
    <col min="12" max="12" width="12.28125" style="125" customWidth="1"/>
    <col min="13" max="13" width="9.28125" style="125" customWidth="1"/>
    <col min="14" max="14" width="10.00390625" style="125" customWidth="1"/>
    <col min="15" max="16" width="12.00390625" style="125" customWidth="1"/>
    <col min="17" max="17" width="12.57421875" style="125" customWidth="1"/>
    <col min="18" max="16384" width="9.140625" style="125" customWidth="1"/>
  </cols>
  <sheetData>
    <row r="1" spans="1:17" ht="22.5" customHeight="1">
      <c r="A1" s="241" t="s">
        <v>155</v>
      </c>
      <c r="B1" s="241"/>
      <c r="C1" s="241"/>
      <c r="D1" s="241"/>
      <c r="E1" s="241"/>
      <c r="F1" s="241"/>
      <c r="G1" s="241"/>
      <c r="H1" s="241"/>
      <c r="I1" s="241"/>
      <c r="J1" s="241"/>
      <c r="K1" s="241"/>
      <c r="L1" s="241"/>
      <c r="M1" s="241"/>
      <c r="N1" s="241"/>
      <c r="O1" s="241"/>
      <c r="P1" s="241"/>
      <c r="Q1" s="241"/>
    </row>
    <row r="2" spans="1:17" ht="18" customHeight="1">
      <c r="A2" s="240" t="s">
        <v>385</v>
      </c>
      <c r="B2" s="240"/>
      <c r="C2" s="240"/>
      <c r="D2" s="240"/>
      <c r="E2" s="240"/>
      <c r="F2" s="240"/>
      <c r="G2" s="240"/>
      <c r="H2" s="240"/>
      <c r="I2" s="240"/>
      <c r="J2" s="240"/>
      <c r="K2" s="240"/>
      <c r="L2" s="240"/>
      <c r="M2" s="240"/>
      <c r="N2" s="240"/>
      <c r="O2" s="240"/>
      <c r="P2" s="240"/>
      <c r="Q2" s="240"/>
    </row>
    <row r="3" spans="1:17" ht="19.5" customHeight="1">
      <c r="A3" s="234" t="str">
        <f>'Công trình'!A3</f>
        <v>CÔNG TRÌNH: ĐƯỜNG LÂM SINH XÃ HIỀN CHUNG, NAM ĐỘNG, PHÚ XUÂN, HUYỆN QUAN HÓA, TỈNH THANH HÓA</v>
      </c>
      <c r="B3" s="234"/>
      <c r="C3" s="234"/>
      <c r="D3" s="234"/>
      <c r="E3" s="234"/>
      <c r="F3" s="234"/>
      <c r="G3" s="234"/>
      <c r="H3" s="234"/>
      <c r="I3" s="234"/>
      <c r="J3" s="234"/>
      <c r="K3" s="234"/>
      <c r="L3" s="234"/>
      <c r="M3" s="234"/>
      <c r="N3" s="234"/>
      <c r="O3" s="234"/>
      <c r="P3" s="234"/>
      <c r="Q3" s="234"/>
    </row>
    <row r="4" spans="1:17" ht="16.5" customHeight="1">
      <c r="A4" s="74"/>
      <c r="B4" s="43"/>
      <c r="C4" s="97"/>
      <c r="D4" s="43"/>
      <c r="E4" s="74"/>
      <c r="F4" s="43"/>
      <c r="G4" s="97"/>
      <c r="H4" s="97"/>
      <c r="I4" s="97"/>
      <c r="J4" s="43"/>
      <c r="K4" s="97"/>
      <c r="L4" s="97"/>
      <c r="M4" s="97"/>
      <c r="N4" s="97"/>
      <c r="O4" s="97"/>
      <c r="P4" s="97"/>
      <c r="Q4" s="97"/>
    </row>
    <row r="5" spans="1:17" ht="18.75" customHeight="1">
      <c r="A5" s="254" t="s">
        <v>279</v>
      </c>
      <c r="B5" s="248" t="s">
        <v>285</v>
      </c>
      <c r="C5" s="7" t="s">
        <v>389</v>
      </c>
      <c r="D5" s="248" t="s">
        <v>58</v>
      </c>
      <c r="E5" s="248" t="s">
        <v>486</v>
      </c>
      <c r="F5" s="248" t="s">
        <v>276</v>
      </c>
      <c r="G5" s="248" t="s">
        <v>479</v>
      </c>
      <c r="H5" s="248" t="s">
        <v>138</v>
      </c>
      <c r="I5" s="248" t="s">
        <v>139</v>
      </c>
      <c r="J5" s="248" t="s">
        <v>53</v>
      </c>
      <c r="K5" s="248" t="s">
        <v>12</v>
      </c>
      <c r="L5" s="257" t="s">
        <v>203</v>
      </c>
      <c r="M5" s="248" t="s">
        <v>456</v>
      </c>
      <c r="N5" s="257" t="s">
        <v>44</v>
      </c>
      <c r="O5" s="257" t="s">
        <v>475</v>
      </c>
      <c r="P5" s="257" t="s">
        <v>313</v>
      </c>
      <c r="Q5" s="257" t="s">
        <v>505</v>
      </c>
    </row>
    <row r="6" spans="1:17" ht="16.5" customHeight="1">
      <c r="A6" s="254"/>
      <c r="B6" s="248"/>
      <c r="C6" s="88"/>
      <c r="D6" s="248"/>
      <c r="E6" s="248"/>
      <c r="F6" s="248"/>
      <c r="G6" s="248"/>
      <c r="H6" s="248"/>
      <c r="I6" s="248"/>
      <c r="J6" s="248"/>
      <c r="K6" s="248"/>
      <c r="L6" s="257"/>
      <c r="M6" s="248"/>
      <c r="N6" s="257"/>
      <c r="O6" s="257"/>
      <c r="P6" s="257"/>
      <c r="Q6" s="257"/>
    </row>
    <row r="7" spans="1:17" ht="15">
      <c r="A7" s="1"/>
      <c r="B7" s="90"/>
      <c r="C7" s="151"/>
      <c r="D7" s="90"/>
      <c r="E7" s="119"/>
      <c r="F7" s="90"/>
      <c r="G7" s="151"/>
      <c r="H7" s="151"/>
      <c r="I7" s="151"/>
      <c r="J7" s="90"/>
      <c r="K7" s="151"/>
      <c r="L7" s="86"/>
      <c r="M7" s="151"/>
      <c r="N7" s="86"/>
      <c r="O7" s="86"/>
      <c r="P7" s="86"/>
      <c r="Q7" s="86"/>
    </row>
    <row r="8" spans="1:17" ht="16.5" customHeight="1">
      <c r="A8" s="74"/>
      <c r="B8" s="43"/>
      <c r="C8" s="97"/>
      <c r="D8" s="43"/>
      <c r="E8" s="74"/>
      <c r="F8" s="43"/>
      <c r="G8" s="97"/>
      <c r="H8" s="97"/>
      <c r="I8" s="97"/>
      <c r="J8" s="43"/>
      <c r="K8" s="97"/>
      <c r="L8" s="97"/>
      <c r="M8" s="97"/>
      <c r="N8" s="97"/>
      <c r="O8" s="97"/>
      <c r="P8" s="97"/>
      <c r="Q8" s="97"/>
    </row>
  </sheetData>
  <sheetProtection/>
  <mergeCells count="19">
    <mergeCell ref="O5:O6"/>
    <mergeCell ref="P5:P6"/>
    <mergeCell ref="Q5:Q6"/>
    <mergeCell ref="I5:I6"/>
    <mergeCell ref="J5:J6"/>
    <mergeCell ref="K5:K6"/>
    <mergeCell ref="L5:L6"/>
    <mergeCell ref="M5:M6"/>
    <mergeCell ref="N5:N6"/>
    <mergeCell ref="A1:Q1"/>
    <mergeCell ref="A2:Q2"/>
    <mergeCell ref="A3:Q3"/>
    <mergeCell ref="A5:A6"/>
    <mergeCell ref="B5:B6"/>
    <mergeCell ref="D5:D6"/>
    <mergeCell ref="E5:E6"/>
    <mergeCell ref="F5:F6"/>
    <mergeCell ref="G5:G6"/>
    <mergeCell ref="H5:H6"/>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5.xml><?xml version="1.0" encoding="utf-8"?>
<worksheet xmlns="http://schemas.openxmlformats.org/spreadsheetml/2006/main" xmlns:r="http://schemas.openxmlformats.org/officeDocument/2006/relationships">
  <dimension ref="A1:G10"/>
  <sheetViews>
    <sheetView showZeros="0" zoomScalePageLayoutView="0" workbookViewId="0" topLeftCell="A1">
      <selection activeCell="A1" sqref="A1:G1"/>
    </sheetView>
  </sheetViews>
  <sheetFormatPr defaultColWidth="9.140625" defaultRowHeight="15"/>
  <cols>
    <col min="1" max="1" width="11.7109375" style="125" customWidth="1"/>
    <col min="2" max="2" width="47.140625" style="125" customWidth="1"/>
    <col min="3" max="3" width="9.28125" style="125" hidden="1" customWidth="1"/>
    <col min="4" max="4" width="9.140625" style="125" hidden="1" customWidth="1"/>
    <col min="5" max="5" width="16.421875" style="125" customWidth="1"/>
    <col min="6" max="6" width="15.28125" style="125" customWidth="1"/>
    <col min="7" max="7" width="15.7109375" style="125" customWidth="1"/>
    <col min="8" max="16384" width="9.140625" style="125" customWidth="1"/>
  </cols>
  <sheetData>
    <row r="1" spans="1:7" ht="22.5" customHeight="1">
      <c r="A1" s="241" t="s">
        <v>311</v>
      </c>
      <c r="B1" s="241"/>
      <c r="C1" s="241"/>
      <c r="D1" s="241"/>
      <c r="E1" s="241"/>
      <c r="F1" s="241"/>
      <c r="G1" s="241"/>
    </row>
    <row r="2" spans="1:7" ht="18" customHeight="1">
      <c r="A2" s="240" t="s">
        <v>229</v>
      </c>
      <c r="B2" s="240"/>
      <c r="C2" s="240"/>
      <c r="D2" s="240"/>
      <c r="E2" s="240"/>
      <c r="F2" s="240"/>
      <c r="G2" s="240"/>
    </row>
    <row r="3" spans="1:7" ht="16.5" customHeight="1">
      <c r="A3" s="43"/>
      <c r="B3" s="43"/>
      <c r="C3" s="43"/>
      <c r="D3" s="43"/>
      <c r="E3" s="97"/>
      <c r="F3" s="97"/>
      <c r="G3" s="97"/>
    </row>
    <row r="4" spans="1:7" ht="18.75" customHeight="1">
      <c r="A4" s="43"/>
      <c r="B4" s="43"/>
      <c r="C4" s="43"/>
      <c r="D4" s="43"/>
      <c r="E4" s="123" t="s">
        <v>426</v>
      </c>
      <c r="F4" s="137" t="s">
        <v>325</v>
      </c>
      <c r="G4" s="97"/>
    </row>
    <row r="5" spans="1:7" ht="16.5" customHeight="1">
      <c r="A5" s="43"/>
      <c r="B5" s="43"/>
      <c r="C5" s="43"/>
      <c r="D5" s="43"/>
      <c r="E5" s="97"/>
      <c r="F5" s="97"/>
      <c r="G5" s="97"/>
    </row>
    <row r="6" spans="1:7" ht="18.75" customHeight="1">
      <c r="A6" s="248" t="s">
        <v>332</v>
      </c>
      <c r="B6" s="248" t="s">
        <v>483</v>
      </c>
      <c r="C6" s="248" t="s">
        <v>51</v>
      </c>
      <c r="D6" s="248" t="s">
        <v>420</v>
      </c>
      <c r="E6" s="248" t="s">
        <v>66</v>
      </c>
      <c r="F6" s="257" t="s">
        <v>118</v>
      </c>
      <c r="G6" s="257" t="s">
        <v>68</v>
      </c>
    </row>
    <row r="7" spans="1:7" ht="16.5" customHeight="1">
      <c r="A7" s="248"/>
      <c r="B7" s="248"/>
      <c r="C7" s="248"/>
      <c r="D7" s="248"/>
      <c r="E7" s="248"/>
      <c r="F7" s="257"/>
      <c r="G7" s="257"/>
    </row>
    <row r="8" spans="1:7" ht="15">
      <c r="A8" s="90" t="s">
        <v>210</v>
      </c>
      <c r="B8" s="90" t="s">
        <v>171</v>
      </c>
      <c r="C8" s="118"/>
      <c r="D8" s="118"/>
      <c r="E8" s="151">
        <v>1.39</v>
      </c>
      <c r="F8" s="86">
        <v>214000</v>
      </c>
      <c r="G8" s="86">
        <f>ROUND(F8*E8/1.52,0)</f>
        <v>195697</v>
      </c>
    </row>
    <row r="9" spans="1:7" ht="15">
      <c r="A9" s="40" t="s">
        <v>178</v>
      </c>
      <c r="B9" s="40" t="s">
        <v>211</v>
      </c>
      <c r="C9" s="70"/>
      <c r="D9" s="70"/>
      <c r="E9" s="93">
        <v>1.65</v>
      </c>
      <c r="F9" s="33">
        <v>230000</v>
      </c>
      <c r="G9" s="33">
        <f>ROUND(F9*E9/1.52,0)</f>
        <v>249671</v>
      </c>
    </row>
    <row r="10" spans="1:7" ht="16.5" customHeight="1">
      <c r="A10" s="43"/>
      <c r="B10" s="43"/>
      <c r="C10" s="43"/>
      <c r="D10" s="43"/>
      <c r="E10" s="97"/>
      <c r="F10" s="97"/>
      <c r="G10" s="97"/>
    </row>
  </sheetData>
  <sheetProtection/>
  <mergeCells count="9">
    <mergeCell ref="A1:G1"/>
    <mergeCell ref="A2:G2"/>
    <mergeCell ref="A6:A7"/>
    <mergeCell ref="B6:B7"/>
    <mergeCell ref="C6:C7"/>
    <mergeCell ref="D6:D7"/>
    <mergeCell ref="E6:E7"/>
    <mergeCell ref="F6:F7"/>
    <mergeCell ref="G6:G7"/>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6.xml><?xml version="1.0" encoding="utf-8"?>
<worksheet xmlns="http://schemas.openxmlformats.org/spreadsheetml/2006/main" xmlns:r="http://schemas.openxmlformats.org/officeDocument/2006/relationships">
  <dimension ref="A1:R13"/>
  <sheetViews>
    <sheetView showZeros="0" zoomScalePageLayoutView="0" workbookViewId="0" topLeftCell="A1">
      <selection activeCell="A1" sqref="A1:R1"/>
    </sheetView>
  </sheetViews>
  <sheetFormatPr defaultColWidth="9.140625" defaultRowHeight="15"/>
  <cols>
    <col min="1" max="1" width="8.421875" style="125" customWidth="1"/>
    <col min="2" max="2" width="12.7109375" style="125" customWidth="1"/>
    <col min="3" max="3" width="8.28125" style="125" customWidth="1"/>
    <col min="4" max="4" width="14.421875" style="125" customWidth="1"/>
    <col min="5" max="5" width="8.57421875" style="125" customWidth="1"/>
    <col min="6" max="6" width="7.00390625" style="125" customWidth="1"/>
    <col min="7" max="7" width="6.421875" style="125" customWidth="1"/>
    <col min="8" max="8" width="6.57421875" style="125" customWidth="1"/>
    <col min="9" max="9" width="10.00390625" style="125" customWidth="1"/>
    <col min="10" max="10" width="10.421875" style="125" customWidth="1"/>
    <col min="11" max="11" width="10.140625" style="125" customWidth="1"/>
    <col min="12" max="12" width="7.00390625" style="125" customWidth="1"/>
    <col min="13" max="13" width="7.8515625" style="125" customWidth="1"/>
    <col min="14" max="14" width="6.8515625" style="125" customWidth="1"/>
    <col min="15" max="15" width="12.421875" style="125" customWidth="1"/>
    <col min="16" max="16" width="13.28125" style="125" customWidth="1"/>
    <col min="17" max="17" width="9.421875" style="125" customWidth="1"/>
    <col min="18" max="18" width="9.57421875" style="125" customWidth="1"/>
    <col min="19" max="16384" width="9.140625" style="125" customWidth="1"/>
  </cols>
  <sheetData>
    <row r="1" spans="1:18" ht="24" customHeight="1">
      <c r="A1" s="241" t="s">
        <v>417</v>
      </c>
      <c r="B1" s="241"/>
      <c r="C1" s="241"/>
      <c r="D1" s="241"/>
      <c r="E1" s="241"/>
      <c r="F1" s="241"/>
      <c r="G1" s="241"/>
      <c r="H1" s="241"/>
      <c r="I1" s="241"/>
      <c r="J1" s="241"/>
      <c r="K1" s="241"/>
      <c r="L1" s="241"/>
      <c r="M1" s="241"/>
      <c r="N1" s="241"/>
      <c r="O1" s="241"/>
      <c r="P1" s="241"/>
      <c r="Q1" s="241"/>
      <c r="R1" s="241"/>
    </row>
    <row r="2" spans="1:18" ht="18" customHeight="1">
      <c r="A2" s="240" t="s">
        <v>284</v>
      </c>
      <c r="B2" s="240"/>
      <c r="C2" s="240"/>
      <c r="D2" s="240"/>
      <c r="E2" s="240"/>
      <c r="F2" s="240"/>
      <c r="G2" s="240"/>
      <c r="H2" s="240"/>
      <c r="I2" s="240"/>
      <c r="J2" s="240"/>
      <c r="K2" s="240"/>
      <c r="L2" s="240"/>
      <c r="M2" s="240"/>
      <c r="N2" s="240"/>
      <c r="O2" s="240"/>
      <c r="P2" s="240"/>
      <c r="Q2" s="240"/>
      <c r="R2" s="240"/>
    </row>
    <row r="3" spans="1:18" ht="16.5" customHeight="1">
      <c r="A3" s="43"/>
      <c r="B3" s="43"/>
      <c r="C3" s="97"/>
      <c r="D3" s="97"/>
      <c r="E3" s="97"/>
      <c r="F3" s="97"/>
      <c r="G3" s="97"/>
      <c r="H3" s="97"/>
      <c r="I3" s="97"/>
      <c r="J3" s="97"/>
      <c r="K3" s="97"/>
      <c r="L3" s="97"/>
      <c r="M3" s="43"/>
      <c r="N3" s="97"/>
      <c r="O3" s="97"/>
      <c r="P3" s="43"/>
      <c r="Q3" s="97"/>
      <c r="R3" s="97"/>
    </row>
    <row r="4" spans="1:18" ht="18.75" customHeight="1">
      <c r="A4" s="267" t="s">
        <v>13</v>
      </c>
      <c r="B4" s="267"/>
      <c r="C4" s="46">
        <v>19200</v>
      </c>
      <c r="D4" s="88" t="s">
        <v>120</v>
      </c>
      <c r="E4" s="97"/>
      <c r="F4" s="97"/>
      <c r="G4" s="97"/>
      <c r="H4" s="97"/>
      <c r="I4" s="97"/>
      <c r="J4" s="97"/>
      <c r="K4" s="259" t="s">
        <v>2</v>
      </c>
      <c r="L4" s="259"/>
      <c r="M4" s="259"/>
      <c r="N4" s="259"/>
      <c r="O4" s="267" t="s">
        <v>325</v>
      </c>
      <c r="P4" s="267"/>
      <c r="Q4" s="267"/>
      <c r="R4" s="97"/>
    </row>
    <row r="5" spans="1:18" ht="18" customHeight="1">
      <c r="A5" s="268" t="s">
        <v>152</v>
      </c>
      <c r="B5" s="268"/>
      <c r="C5" s="130">
        <v>15372.73</v>
      </c>
      <c r="D5" s="22" t="s">
        <v>120</v>
      </c>
      <c r="E5" s="97"/>
      <c r="F5" s="97"/>
      <c r="G5" s="97"/>
      <c r="H5" s="97"/>
      <c r="I5" s="97"/>
      <c r="J5" s="97"/>
      <c r="K5" s="135"/>
      <c r="L5" s="97"/>
      <c r="M5" s="43"/>
      <c r="N5" s="97"/>
      <c r="O5" s="150"/>
      <c r="P5" s="43"/>
      <c r="Q5" s="97"/>
      <c r="R5" s="97"/>
    </row>
    <row r="6" spans="1:18" ht="18.75" customHeight="1">
      <c r="A6" s="268" t="s">
        <v>187</v>
      </c>
      <c r="B6" s="268"/>
      <c r="C6" s="130">
        <v>13453.36</v>
      </c>
      <c r="D6" s="22" t="s">
        <v>120</v>
      </c>
      <c r="E6" s="97"/>
      <c r="F6" s="97"/>
      <c r="G6" s="97"/>
      <c r="H6" s="97"/>
      <c r="I6" s="97"/>
      <c r="J6" s="97"/>
      <c r="K6" s="97"/>
      <c r="L6" s="97"/>
      <c r="M6" s="43"/>
      <c r="N6" s="97"/>
      <c r="O6" s="97"/>
      <c r="P6" s="43"/>
      <c r="Q6" s="97"/>
      <c r="R6" s="97"/>
    </row>
    <row r="7" spans="1:18" ht="18" customHeight="1">
      <c r="A7" s="268" t="s">
        <v>491</v>
      </c>
      <c r="B7" s="268"/>
      <c r="C7" s="130">
        <v>1864.44</v>
      </c>
      <c r="D7" s="22" t="s">
        <v>29</v>
      </c>
      <c r="E7" s="97"/>
      <c r="F7" s="97"/>
      <c r="G7" s="97"/>
      <c r="H7" s="97"/>
      <c r="I7" s="97"/>
      <c r="J7" s="97"/>
      <c r="K7" s="97"/>
      <c r="L7" s="97"/>
      <c r="M7" s="43"/>
      <c r="N7" s="97"/>
      <c r="O7" s="97"/>
      <c r="P7" s="43"/>
      <c r="Q7" s="97"/>
      <c r="R7" s="97"/>
    </row>
    <row r="8" spans="1:18" ht="18" customHeight="1">
      <c r="A8" s="43"/>
      <c r="B8" s="43"/>
      <c r="C8" s="97"/>
      <c r="D8" s="97"/>
      <c r="E8" s="97"/>
      <c r="F8" s="97"/>
      <c r="G8" s="97"/>
      <c r="H8" s="97"/>
      <c r="I8" s="97"/>
      <c r="J8" s="97"/>
      <c r="K8" s="97"/>
      <c r="L8" s="97"/>
      <c r="M8" s="43"/>
      <c r="N8" s="97"/>
      <c r="O8" s="97"/>
      <c r="P8" s="43"/>
      <c r="Q8" s="97"/>
      <c r="R8" s="97"/>
    </row>
    <row r="9" spans="1:18" ht="20.25" customHeight="1">
      <c r="A9" s="248" t="s">
        <v>301</v>
      </c>
      <c r="B9" s="248" t="s">
        <v>283</v>
      </c>
      <c r="C9" s="257" t="s">
        <v>346</v>
      </c>
      <c r="D9" s="257" t="s">
        <v>127</v>
      </c>
      <c r="E9" s="248" t="s">
        <v>65</v>
      </c>
      <c r="F9" s="248" t="s">
        <v>376</v>
      </c>
      <c r="G9" s="248"/>
      <c r="H9" s="248"/>
      <c r="I9" s="257" t="s">
        <v>500</v>
      </c>
      <c r="J9" s="257"/>
      <c r="K9" s="257"/>
      <c r="L9" s="248" t="s">
        <v>459</v>
      </c>
      <c r="M9" s="248"/>
      <c r="N9" s="269" t="s">
        <v>97</v>
      </c>
      <c r="O9" s="257" t="s">
        <v>462</v>
      </c>
      <c r="P9" s="248" t="s">
        <v>286</v>
      </c>
      <c r="Q9" s="257" t="s">
        <v>341</v>
      </c>
      <c r="R9" s="257" t="s">
        <v>498</v>
      </c>
    </row>
    <row r="10" spans="1:18" ht="54.75" customHeight="1">
      <c r="A10" s="248"/>
      <c r="B10" s="248"/>
      <c r="C10" s="257"/>
      <c r="D10" s="257"/>
      <c r="E10" s="248"/>
      <c r="F10" s="7" t="s">
        <v>26</v>
      </c>
      <c r="G10" s="7" t="s">
        <v>217</v>
      </c>
      <c r="H10" s="7" t="s">
        <v>147</v>
      </c>
      <c r="I10" s="92" t="s">
        <v>26</v>
      </c>
      <c r="J10" s="92" t="s">
        <v>217</v>
      </c>
      <c r="K10" s="92" t="s">
        <v>147</v>
      </c>
      <c r="L10" s="248"/>
      <c r="M10" s="248"/>
      <c r="N10" s="269"/>
      <c r="O10" s="257"/>
      <c r="P10" s="248"/>
      <c r="Q10" s="257"/>
      <c r="R10" s="257"/>
    </row>
    <row r="11" spans="1:18" ht="75">
      <c r="A11" s="90" t="s">
        <v>421</v>
      </c>
      <c r="B11" s="90" t="s">
        <v>22</v>
      </c>
      <c r="C11" s="86">
        <v>280</v>
      </c>
      <c r="D11" s="129">
        <v>900000000</v>
      </c>
      <c r="E11" s="151">
        <v>0.9</v>
      </c>
      <c r="F11" s="151">
        <v>17</v>
      </c>
      <c r="G11" s="151">
        <v>5.8</v>
      </c>
      <c r="H11" s="151">
        <v>5</v>
      </c>
      <c r="I11" s="86">
        <f>ROUND(D11*E11*F11/100/C11,2)</f>
        <v>491785.71</v>
      </c>
      <c r="J11" s="86">
        <f>ROUND(D11*G11/100/C11,2)</f>
        <v>186428.57</v>
      </c>
      <c r="K11" s="86">
        <f>ROUND(D11*H11/100/C11,2)</f>
        <v>160714.29</v>
      </c>
      <c r="L11" s="151">
        <v>65</v>
      </c>
      <c r="M11" s="90" t="s">
        <v>375</v>
      </c>
      <c r="N11" s="136">
        <v>1.03</v>
      </c>
      <c r="O11" s="86">
        <f>ROUND(L11*C5*N11,2)</f>
        <v>1029204.27</v>
      </c>
      <c r="P11" s="90" t="s">
        <v>100</v>
      </c>
      <c r="Q11" s="86">
        <f>VLOOKUP("N83413",'Lương nhân công'!A8:G9,7,FALSE)</f>
        <v>249671</v>
      </c>
      <c r="R11" s="86">
        <f>ROUND(SUM(I11:K11)+O11+Q11,0)</f>
        <v>2117804</v>
      </c>
    </row>
    <row r="12" spans="1:18" ht="30">
      <c r="A12" s="40" t="s">
        <v>153</v>
      </c>
      <c r="B12" s="40" t="s">
        <v>312</v>
      </c>
      <c r="C12" s="33">
        <v>280</v>
      </c>
      <c r="D12" s="84">
        <v>821855000</v>
      </c>
      <c r="E12" s="93">
        <v>0.9</v>
      </c>
      <c r="F12" s="93">
        <v>14</v>
      </c>
      <c r="G12" s="93">
        <v>5.8</v>
      </c>
      <c r="H12" s="93">
        <v>5</v>
      </c>
      <c r="I12" s="33">
        <f>ROUND(D12*E12*F12/100/C12,2)</f>
        <v>369834.75</v>
      </c>
      <c r="J12" s="33">
        <f>ROUND(D12*G12/100/C12,2)</f>
        <v>170241.39</v>
      </c>
      <c r="K12" s="33">
        <f>ROUND(D12*H12/100/C12,2)</f>
        <v>146759.82</v>
      </c>
      <c r="L12" s="93">
        <v>46</v>
      </c>
      <c r="M12" s="40" t="s">
        <v>375</v>
      </c>
      <c r="N12" s="87">
        <v>1.03</v>
      </c>
      <c r="O12" s="33">
        <f>ROUND(L12*C5*N12,2)</f>
        <v>728359.95</v>
      </c>
      <c r="P12" s="40" t="s">
        <v>100</v>
      </c>
      <c r="Q12" s="33">
        <f>VLOOKUP("N83413",'Lương nhân công'!A8:G9,7,FALSE)</f>
        <v>249671</v>
      </c>
      <c r="R12" s="33">
        <f>ROUND(SUM(I12:K12)+O12+Q12,0)</f>
        <v>1664867</v>
      </c>
    </row>
    <row r="13" spans="1:18" ht="18" customHeight="1">
      <c r="A13" s="43"/>
      <c r="B13" s="43"/>
      <c r="C13" s="97"/>
      <c r="D13" s="97"/>
      <c r="E13" s="97"/>
      <c r="F13" s="97"/>
      <c r="G13" s="97"/>
      <c r="H13" s="97"/>
      <c r="I13" s="97"/>
      <c r="J13" s="97"/>
      <c r="K13" s="97"/>
      <c r="L13" s="97"/>
      <c r="M13" s="43"/>
      <c r="N13" s="97"/>
      <c r="O13" s="97"/>
      <c r="P13" s="43"/>
      <c r="Q13" s="97"/>
      <c r="R13" s="97"/>
    </row>
  </sheetData>
  <sheetProtection/>
  <mergeCells count="21">
    <mergeCell ref="P9:P10"/>
    <mergeCell ref="Q9:Q10"/>
    <mergeCell ref="R9:R10"/>
    <mergeCell ref="E9:E10"/>
    <mergeCell ref="F9:H9"/>
    <mergeCell ref="I9:K9"/>
    <mergeCell ref="L9:M10"/>
    <mergeCell ref="N9:N10"/>
    <mergeCell ref="O9:O10"/>
    <mergeCell ref="A6:B6"/>
    <mergeCell ref="A7:B7"/>
    <mergeCell ref="A9:A10"/>
    <mergeCell ref="B9:B10"/>
    <mergeCell ref="C9:C10"/>
    <mergeCell ref="D9:D10"/>
    <mergeCell ref="A1:R1"/>
    <mergeCell ref="A2:R2"/>
    <mergeCell ref="A4:B4"/>
    <mergeCell ref="K4:N4"/>
    <mergeCell ref="O4:Q4"/>
    <mergeCell ref="A5:B5"/>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7.xml><?xml version="1.0" encoding="utf-8"?>
<worksheet xmlns="http://schemas.openxmlformats.org/spreadsheetml/2006/main" xmlns:r="http://schemas.openxmlformats.org/officeDocument/2006/relationships">
  <dimension ref="A1:S22"/>
  <sheetViews>
    <sheetView showZeros="0" zoomScalePageLayoutView="0" workbookViewId="0" topLeftCell="A1">
      <selection activeCell="A1" sqref="A1:S1"/>
    </sheetView>
  </sheetViews>
  <sheetFormatPr defaultColWidth="9.140625" defaultRowHeight="15"/>
  <cols>
    <col min="1" max="1" width="6.140625" style="125" customWidth="1"/>
    <col min="2" max="2" width="12.57421875" style="125" customWidth="1"/>
    <col min="3" max="3" width="11.140625" style="125" hidden="1" customWidth="1"/>
    <col min="4" max="4" width="33.8515625" style="125" customWidth="1"/>
    <col min="5" max="5" width="9.140625" style="125" hidden="1" customWidth="1"/>
    <col min="6" max="6" width="9.00390625" style="125" hidden="1" customWidth="1"/>
    <col min="7" max="7" width="10.28125" style="125" customWidth="1"/>
    <col min="8" max="8" width="7.28125" style="125" hidden="1" customWidth="1"/>
    <col min="9" max="9" width="10.28125" style="125" customWidth="1"/>
    <col min="10" max="10" width="11.00390625" style="125" customWidth="1"/>
    <col min="11" max="11" width="15.57421875" style="125" customWidth="1"/>
    <col min="12" max="12" width="10.8515625" style="125" customWidth="1"/>
    <col min="13" max="13" width="11.57421875" style="125" customWidth="1"/>
    <col min="14" max="15" width="12.57421875" style="125" customWidth="1"/>
    <col min="16" max="16" width="12.140625" style="125" customWidth="1"/>
    <col min="17" max="17" width="12.57421875" style="125" customWidth="1"/>
    <col min="18" max="18" width="15.00390625" style="125" customWidth="1"/>
    <col min="19" max="19" width="14.57421875" style="125" customWidth="1"/>
    <col min="20" max="16384" width="9.140625" style="125" customWidth="1"/>
  </cols>
  <sheetData>
    <row r="1" spans="1:19" ht="22.5" customHeight="1">
      <c r="A1" s="241" t="s">
        <v>303</v>
      </c>
      <c r="B1" s="241"/>
      <c r="C1" s="241"/>
      <c r="D1" s="241"/>
      <c r="E1" s="241"/>
      <c r="F1" s="241"/>
      <c r="G1" s="241"/>
      <c r="H1" s="241"/>
      <c r="I1" s="241"/>
      <c r="J1" s="241"/>
      <c r="K1" s="241"/>
      <c r="L1" s="241"/>
      <c r="M1" s="241"/>
      <c r="N1" s="241"/>
      <c r="O1" s="241"/>
      <c r="P1" s="241"/>
      <c r="Q1" s="241"/>
      <c r="R1" s="241"/>
      <c r="S1" s="241"/>
    </row>
    <row r="2" spans="1:19" ht="18" customHeight="1">
      <c r="A2" s="240" t="s">
        <v>284</v>
      </c>
      <c r="B2" s="240"/>
      <c r="C2" s="240"/>
      <c r="D2" s="240"/>
      <c r="E2" s="240"/>
      <c r="F2" s="240"/>
      <c r="G2" s="240"/>
      <c r="H2" s="240"/>
      <c r="I2" s="240"/>
      <c r="J2" s="240"/>
      <c r="K2" s="240"/>
      <c r="L2" s="240"/>
      <c r="M2" s="240"/>
      <c r="N2" s="240"/>
      <c r="O2" s="240"/>
      <c r="P2" s="240"/>
      <c r="Q2" s="240"/>
      <c r="R2" s="240"/>
      <c r="S2" s="240"/>
    </row>
    <row r="3" spans="1:19" ht="19.5" customHeight="1">
      <c r="A3" s="234" t="str">
        <f>'Công trình'!A3</f>
        <v>CÔNG TRÌNH: ĐƯỜNG LÂM SINH XÃ HIỀN CHUNG, NAM ĐỘNG, PHÚ XUÂN, HUYỆN QUAN HÓA, TỈNH THANH HÓA</v>
      </c>
      <c r="B3" s="234"/>
      <c r="C3" s="234"/>
      <c r="D3" s="234"/>
      <c r="E3" s="234"/>
      <c r="F3" s="234"/>
      <c r="G3" s="234"/>
      <c r="H3" s="234"/>
      <c r="I3" s="234"/>
      <c r="J3" s="234"/>
      <c r="K3" s="234"/>
      <c r="L3" s="234"/>
      <c r="M3" s="234"/>
      <c r="N3" s="234"/>
      <c r="O3" s="234"/>
      <c r="P3" s="234"/>
      <c r="Q3" s="234"/>
      <c r="R3" s="234"/>
      <c r="S3" s="234"/>
    </row>
    <row r="4" spans="1:19" ht="16.5" customHeight="1">
      <c r="A4" s="74"/>
      <c r="B4" s="43"/>
      <c r="C4" s="97"/>
      <c r="D4" s="43"/>
      <c r="E4" s="43"/>
      <c r="F4" s="43"/>
      <c r="G4" s="74"/>
      <c r="H4" s="97"/>
      <c r="I4" s="97"/>
      <c r="J4" s="97"/>
      <c r="K4" s="103"/>
      <c r="L4" s="103"/>
      <c r="M4" s="103"/>
      <c r="N4" s="103"/>
      <c r="O4" s="103"/>
      <c r="P4" s="97"/>
      <c r="Q4" s="97"/>
      <c r="R4" s="97"/>
      <c r="S4" s="97"/>
    </row>
    <row r="5" spans="1:19" ht="18.75" customHeight="1">
      <c r="A5" s="103"/>
      <c r="B5" s="82"/>
      <c r="C5" s="97"/>
      <c r="D5" s="259" t="s">
        <v>13</v>
      </c>
      <c r="E5" s="259"/>
      <c r="F5" s="259"/>
      <c r="G5" s="270">
        <v>19200</v>
      </c>
      <c r="H5" s="270"/>
      <c r="I5" s="35" t="s">
        <v>120</v>
      </c>
      <c r="J5" s="97"/>
      <c r="K5" s="259" t="s">
        <v>2</v>
      </c>
      <c r="L5" s="259"/>
      <c r="M5" s="259"/>
      <c r="N5" s="267" t="s">
        <v>325</v>
      </c>
      <c r="O5" s="267"/>
      <c r="P5" s="267"/>
      <c r="Q5" s="97"/>
      <c r="R5" s="97"/>
      <c r="S5" s="97"/>
    </row>
    <row r="6" spans="1:19" ht="18" customHeight="1">
      <c r="A6" s="103"/>
      <c r="B6" s="82"/>
      <c r="C6" s="97"/>
      <c r="D6" s="258" t="s">
        <v>152</v>
      </c>
      <c r="E6" s="258"/>
      <c r="F6" s="258"/>
      <c r="G6" s="271">
        <v>15372.73</v>
      </c>
      <c r="H6" s="271"/>
      <c r="I6" s="113" t="s">
        <v>120</v>
      </c>
      <c r="J6" s="97"/>
      <c r="K6" s="135"/>
      <c r="L6" s="97"/>
      <c r="M6" s="97"/>
      <c r="N6" s="150"/>
      <c r="O6" s="97"/>
      <c r="P6" s="97"/>
      <c r="Q6" s="97"/>
      <c r="R6" s="97"/>
      <c r="S6" s="97"/>
    </row>
    <row r="7" spans="1:19" ht="18" customHeight="1">
      <c r="A7" s="103"/>
      <c r="B7" s="82"/>
      <c r="C7" s="97"/>
      <c r="D7" s="258" t="s">
        <v>187</v>
      </c>
      <c r="E7" s="258"/>
      <c r="F7" s="258"/>
      <c r="G7" s="271">
        <v>13453.36</v>
      </c>
      <c r="H7" s="271"/>
      <c r="I7" s="113" t="s">
        <v>120</v>
      </c>
      <c r="J7" s="97"/>
      <c r="K7" s="135"/>
      <c r="L7" s="97"/>
      <c r="M7" s="97"/>
      <c r="N7" s="28"/>
      <c r="O7" s="97"/>
      <c r="P7" s="97"/>
      <c r="Q7" s="97"/>
      <c r="R7" s="97"/>
      <c r="S7" s="97"/>
    </row>
    <row r="8" spans="1:19" ht="18" customHeight="1">
      <c r="A8" s="103"/>
      <c r="B8" s="82"/>
      <c r="C8" s="97"/>
      <c r="D8" s="258" t="s">
        <v>491</v>
      </c>
      <c r="E8" s="258"/>
      <c r="F8" s="258"/>
      <c r="G8" s="271">
        <v>1864.44</v>
      </c>
      <c r="H8" s="271"/>
      <c r="I8" s="113" t="s">
        <v>29</v>
      </c>
      <c r="J8" s="97"/>
      <c r="K8" s="135"/>
      <c r="L8" s="97"/>
      <c r="M8" s="97"/>
      <c r="N8" s="28"/>
      <c r="O8" s="97"/>
      <c r="P8" s="97"/>
      <c r="Q8" s="97"/>
      <c r="R8" s="97"/>
      <c r="S8" s="97"/>
    </row>
    <row r="9" spans="1:19" ht="16.5" customHeight="1">
      <c r="A9" s="74"/>
      <c r="B9" s="43"/>
      <c r="C9" s="97"/>
      <c r="D9" s="43"/>
      <c r="E9" s="43"/>
      <c r="F9" s="43"/>
      <c r="G9" s="74"/>
      <c r="H9" s="97"/>
      <c r="I9" s="97"/>
      <c r="J9" s="97"/>
      <c r="K9" s="97"/>
      <c r="L9" s="97"/>
      <c r="M9" s="97"/>
      <c r="N9" s="97"/>
      <c r="O9" s="97"/>
      <c r="P9" s="97"/>
      <c r="Q9" s="97"/>
      <c r="R9" s="97"/>
      <c r="S9" s="97"/>
    </row>
    <row r="10" spans="1:19" ht="18.75" customHeight="1">
      <c r="A10" s="254" t="s">
        <v>279</v>
      </c>
      <c r="B10" s="255" t="s">
        <v>301</v>
      </c>
      <c r="C10" s="248" t="s">
        <v>389</v>
      </c>
      <c r="D10" s="248" t="s">
        <v>165</v>
      </c>
      <c r="E10" s="248" t="s">
        <v>51</v>
      </c>
      <c r="F10" s="248" t="s">
        <v>10</v>
      </c>
      <c r="G10" s="257" t="s">
        <v>486</v>
      </c>
      <c r="H10" s="248" t="s">
        <v>247</v>
      </c>
      <c r="I10" s="253" t="s">
        <v>447</v>
      </c>
      <c r="J10" s="269" t="s">
        <v>208</v>
      </c>
      <c r="K10" s="269"/>
      <c r="L10" s="269"/>
      <c r="M10" s="257" t="s">
        <v>478</v>
      </c>
      <c r="N10" s="257"/>
      <c r="O10" s="257"/>
      <c r="P10" s="257" t="s">
        <v>163</v>
      </c>
      <c r="Q10" s="257" t="s">
        <v>474</v>
      </c>
      <c r="R10" s="257" t="s">
        <v>213</v>
      </c>
      <c r="S10" s="257" t="s">
        <v>384</v>
      </c>
    </row>
    <row r="11" spans="1:19" ht="18" customHeight="1">
      <c r="A11" s="254"/>
      <c r="B11" s="255"/>
      <c r="C11" s="248"/>
      <c r="D11" s="248"/>
      <c r="E11" s="248"/>
      <c r="F11" s="248"/>
      <c r="G11" s="257"/>
      <c r="H11" s="248"/>
      <c r="I11" s="253"/>
      <c r="J11" s="152" t="s">
        <v>376</v>
      </c>
      <c r="K11" s="152" t="s">
        <v>122</v>
      </c>
      <c r="L11" s="152" t="s">
        <v>505</v>
      </c>
      <c r="M11" s="92" t="s">
        <v>107</v>
      </c>
      <c r="N11" s="92" t="s">
        <v>384</v>
      </c>
      <c r="O11" s="92" t="s">
        <v>315</v>
      </c>
      <c r="P11" s="257"/>
      <c r="Q11" s="257"/>
      <c r="R11" s="257"/>
      <c r="S11" s="257"/>
    </row>
    <row r="12" spans="1:19" ht="28.5">
      <c r="A12" s="1">
        <v>1</v>
      </c>
      <c r="B12" s="9" t="s">
        <v>421</v>
      </c>
      <c r="C12" s="36">
        <v>2</v>
      </c>
      <c r="D12" s="126" t="s">
        <v>22</v>
      </c>
      <c r="E12" s="3"/>
      <c r="F12" s="3"/>
      <c r="G12" s="89" t="s">
        <v>380</v>
      </c>
      <c r="H12" s="36"/>
      <c r="I12" s="57">
        <f>SUM(L15:L16)</f>
        <v>37.936600000000006</v>
      </c>
      <c r="J12" s="20"/>
      <c r="K12" s="20"/>
      <c r="L12" s="20"/>
      <c r="M12" s="117"/>
      <c r="N12" s="117"/>
      <c r="O12" s="117"/>
      <c r="P12" s="117">
        <f>SUM(P13:P14)</f>
        <v>349816</v>
      </c>
      <c r="Q12" s="117">
        <f>ROUND(I12*P12,0)</f>
        <v>13270830</v>
      </c>
      <c r="R12" s="117">
        <v>1767988</v>
      </c>
      <c r="S12" s="117">
        <f>R12+P12</f>
        <v>2117804</v>
      </c>
    </row>
    <row r="13" spans="1:19" ht="15">
      <c r="A13" s="30"/>
      <c r="B13" s="109"/>
      <c r="C13" s="18"/>
      <c r="D13" s="109" t="s">
        <v>239</v>
      </c>
      <c r="E13" s="147"/>
      <c r="F13" s="147"/>
      <c r="G13" s="83" t="s">
        <v>124</v>
      </c>
      <c r="H13" s="18"/>
      <c r="I13" s="42"/>
      <c r="J13" s="6">
        <v>65</v>
      </c>
      <c r="K13" s="6">
        <v>1.03</v>
      </c>
      <c r="L13" s="6">
        <f>ROUND(J13*K13,4)</f>
        <v>66.95</v>
      </c>
      <c r="M13" s="104">
        <v>10390.91</v>
      </c>
      <c r="N13" s="104">
        <f>G6</f>
        <v>15372.73</v>
      </c>
      <c r="O13" s="104">
        <f>ROUND(N13-M13,2)</f>
        <v>4981.82</v>
      </c>
      <c r="P13" s="104">
        <f>ROUND(L13*O13,0)</f>
        <v>333533</v>
      </c>
      <c r="Q13" s="104"/>
      <c r="R13" s="104"/>
      <c r="S13" s="104"/>
    </row>
    <row r="14" spans="1:19" ht="15">
      <c r="A14" s="30"/>
      <c r="B14" s="109"/>
      <c r="C14" s="18"/>
      <c r="D14" s="109" t="s">
        <v>370</v>
      </c>
      <c r="E14" s="147"/>
      <c r="F14" s="147"/>
      <c r="G14" s="83" t="s">
        <v>67</v>
      </c>
      <c r="H14" s="18"/>
      <c r="I14" s="42"/>
      <c r="J14" s="6">
        <v>1</v>
      </c>
      <c r="K14" s="6"/>
      <c r="L14" s="6">
        <f>J14</f>
        <v>1</v>
      </c>
      <c r="M14" s="104">
        <v>233388</v>
      </c>
      <c r="N14" s="104">
        <f>VLOOKUP("N83413",'Lương nhân công'!A8:G9,7,FALSE)</f>
        <v>249671</v>
      </c>
      <c r="O14" s="104">
        <f>ROUND(N14-M14,2)</f>
        <v>16283</v>
      </c>
      <c r="P14" s="104">
        <f>ROUND(L14*O14,0)</f>
        <v>16283</v>
      </c>
      <c r="Q14" s="104"/>
      <c r="R14" s="104"/>
      <c r="S14" s="104"/>
    </row>
    <row r="15" spans="1:19" ht="30" hidden="1">
      <c r="A15" s="30"/>
      <c r="B15" s="109" t="str">
        <f>'Công trình'!C7</f>
        <v>AB.31123</v>
      </c>
      <c r="C15" s="18"/>
      <c r="D15" s="109" t="str">
        <f>'Công trình'!D7</f>
        <v>Đào nền đường bằng máy đào 0,8m3 - Cấp đất III</v>
      </c>
      <c r="E15" s="147"/>
      <c r="F15" s="147"/>
      <c r="G15" s="83" t="str">
        <f>'Công trình'!E7</f>
        <v>100m3</v>
      </c>
      <c r="H15" s="18">
        <v>1</v>
      </c>
      <c r="I15" s="42">
        <f>'Công trình'!L7</f>
        <v>80.3726</v>
      </c>
      <c r="J15" s="6">
        <v>0.446</v>
      </c>
      <c r="K15" s="6"/>
      <c r="L15" s="6">
        <f>ROUND(ROUND(I15*J15,4)*H15,4)</f>
        <v>35.8462</v>
      </c>
      <c r="M15" s="104"/>
      <c r="N15" s="104"/>
      <c r="O15" s="104"/>
      <c r="P15" s="104"/>
      <c r="Q15" s="104">
        <f>ROUND(L15*P12,0)</f>
        <v>12539574</v>
      </c>
      <c r="R15" s="104"/>
      <c r="S15" s="104"/>
    </row>
    <row r="16" spans="1:19" ht="30" hidden="1">
      <c r="A16" s="30"/>
      <c r="B16" s="109" t="str">
        <f>'Công trình'!C9</f>
        <v>AB.27113</v>
      </c>
      <c r="C16" s="18"/>
      <c r="D16" s="109" t="str">
        <f>'Công trình'!D9</f>
        <v>Đào rãnh bằng máy thi công - Cấp đất III (95%KL)</v>
      </c>
      <c r="E16" s="147"/>
      <c r="F16" s="147"/>
      <c r="G16" s="83" t="str">
        <f>'Công trình'!E9</f>
        <v>100m3</v>
      </c>
      <c r="H16" s="18">
        <v>1</v>
      </c>
      <c r="I16" s="42">
        <f>'Công trình'!L9</f>
        <v>3.9</v>
      </c>
      <c r="J16" s="6">
        <v>0.536</v>
      </c>
      <c r="K16" s="6"/>
      <c r="L16" s="6">
        <f>ROUND(ROUND(I16*J16,4)*H16,4)</f>
        <v>2.0904</v>
      </c>
      <c r="M16" s="104"/>
      <c r="N16" s="104"/>
      <c r="O16" s="104"/>
      <c r="P16" s="104"/>
      <c r="Q16" s="104">
        <f>ROUND(L16*P12,0)</f>
        <v>731255</v>
      </c>
      <c r="R16" s="104"/>
      <c r="S16" s="104"/>
    </row>
    <row r="17" spans="1:19" ht="15">
      <c r="A17" s="30">
        <v>2</v>
      </c>
      <c r="B17" s="37" t="s">
        <v>153</v>
      </c>
      <c r="C17" s="62">
        <v>3</v>
      </c>
      <c r="D17" s="156" t="s">
        <v>312</v>
      </c>
      <c r="E17" s="32"/>
      <c r="F17" s="32"/>
      <c r="G17" s="111" t="s">
        <v>380</v>
      </c>
      <c r="H17" s="62"/>
      <c r="I17" s="81">
        <f>SUM(L20:L20)</f>
        <v>4.6616</v>
      </c>
      <c r="J17" s="52"/>
      <c r="K17" s="52"/>
      <c r="L17" s="52"/>
      <c r="M17" s="143"/>
      <c r="N17" s="143"/>
      <c r="O17" s="143"/>
      <c r="P17" s="143">
        <f>SUM(P18:P19)</f>
        <v>252322</v>
      </c>
      <c r="Q17" s="143">
        <f>ROUND(I17*P17,0)</f>
        <v>1176224</v>
      </c>
      <c r="R17" s="143">
        <v>1412545</v>
      </c>
      <c r="S17" s="143">
        <f>R17+P17</f>
        <v>1664867</v>
      </c>
    </row>
    <row r="18" spans="1:19" ht="15">
      <c r="A18" s="30"/>
      <c r="B18" s="109"/>
      <c r="C18" s="18"/>
      <c r="D18" s="109" t="s">
        <v>239</v>
      </c>
      <c r="E18" s="147"/>
      <c r="F18" s="147"/>
      <c r="G18" s="83" t="s">
        <v>124</v>
      </c>
      <c r="H18" s="18"/>
      <c r="I18" s="42"/>
      <c r="J18" s="6">
        <v>46</v>
      </c>
      <c r="K18" s="6">
        <v>1.03</v>
      </c>
      <c r="L18" s="6">
        <f>ROUND(J18*K18,4)</f>
        <v>47.38</v>
      </c>
      <c r="M18" s="104">
        <v>10390.91</v>
      </c>
      <c r="N18" s="104">
        <f>G6</f>
        <v>15372.73</v>
      </c>
      <c r="O18" s="104">
        <f>ROUND(N18-M18,2)</f>
        <v>4981.82</v>
      </c>
      <c r="P18" s="104">
        <f>ROUND(L18*O18,0)</f>
        <v>236039</v>
      </c>
      <c r="Q18" s="104"/>
      <c r="R18" s="104"/>
      <c r="S18" s="104"/>
    </row>
    <row r="19" spans="1:19" ht="15">
      <c r="A19" s="30"/>
      <c r="B19" s="109"/>
      <c r="C19" s="18"/>
      <c r="D19" s="109" t="s">
        <v>370</v>
      </c>
      <c r="E19" s="147"/>
      <c r="F19" s="147"/>
      <c r="G19" s="83" t="s">
        <v>67</v>
      </c>
      <c r="H19" s="18"/>
      <c r="I19" s="42"/>
      <c r="J19" s="6">
        <v>1</v>
      </c>
      <c r="K19" s="6"/>
      <c r="L19" s="6">
        <f>J19</f>
        <v>1</v>
      </c>
      <c r="M19" s="104">
        <v>233388</v>
      </c>
      <c r="N19" s="104">
        <f>VLOOKUP("N83413",'Lương nhân công'!A8:G9,7,FALSE)</f>
        <v>249671</v>
      </c>
      <c r="O19" s="104">
        <f>ROUND(N19-M19,2)</f>
        <v>16283</v>
      </c>
      <c r="P19" s="104">
        <f>ROUND(L19*O19,0)</f>
        <v>16283</v>
      </c>
      <c r="Q19" s="104"/>
      <c r="R19" s="104"/>
      <c r="S19" s="104"/>
    </row>
    <row r="20" spans="1:19" ht="30" hidden="1">
      <c r="A20" s="100"/>
      <c r="B20" s="40" t="str">
        <f>'Công trình'!C7</f>
        <v>AB.31123</v>
      </c>
      <c r="C20" s="93"/>
      <c r="D20" s="40" t="str">
        <f>'Công trình'!D7</f>
        <v>Đào nền đường bằng máy đào 0,8m3 - Cấp đất III</v>
      </c>
      <c r="E20" s="70"/>
      <c r="F20" s="70"/>
      <c r="G20" s="157" t="str">
        <f>'Công trình'!E7</f>
        <v>100m3</v>
      </c>
      <c r="H20" s="93">
        <v>1</v>
      </c>
      <c r="I20" s="110">
        <f>'Công trình'!L7</f>
        <v>80.3726</v>
      </c>
      <c r="J20" s="87">
        <v>0.058</v>
      </c>
      <c r="K20" s="87"/>
      <c r="L20" s="87">
        <f>ROUND(ROUND(I20*J20,4)*H20,4)</f>
        <v>4.6616</v>
      </c>
      <c r="M20" s="33"/>
      <c r="N20" s="33"/>
      <c r="O20" s="33"/>
      <c r="P20" s="33"/>
      <c r="Q20" s="33">
        <f>ROUND(L20*P17,0)</f>
        <v>1176224</v>
      </c>
      <c r="R20" s="33"/>
      <c r="S20" s="33"/>
    </row>
    <row r="21" spans="1:19" ht="18" customHeight="1">
      <c r="A21" s="91"/>
      <c r="B21" s="35"/>
      <c r="C21" s="88"/>
      <c r="D21" s="35"/>
      <c r="E21" s="35"/>
      <c r="F21" s="35"/>
      <c r="G21" s="144"/>
      <c r="H21" s="88"/>
      <c r="I21" s="105"/>
      <c r="J21" s="80"/>
      <c r="K21" s="80"/>
      <c r="L21" s="80"/>
      <c r="M21" s="19"/>
      <c r="N21" s="19"/>
      <c r="O21" s="19"/>
      <c r="P21" s="128" t="s">
        <v>19</v>
      </c>
      <c r="Q21" s="61">
        <f>ROUND(SUMIF(C12:C20,"&gt;0",Q12:Q20),0)</f>
        <v>14447054</v>
      </c>
      <c r="R21" s="19"/>
      <c r="S21" s="61"/>
    </row>
    <row r="22" spans="1:19" ht="16.5" customHeight="1">
      <c r="A22" s="74"/>
      <c r="B22" s="43"/>
      <c r="C22" s="97"/>
      <c r="D22" s="43"/>
      <c r="E22" s="43"/>
      <c r="F22" s="43"/>
      <c r="G22" s="74"/>
      <c r="H22" s="97"/>
      <c r="I22" s="97"/>
      <c r="J22" s="97"/>
      <c r="K22" s="97"/>
      <c r="L22" s="97"/>
      <c r="M22" s="97"/>
      <c r="N22" s="97"/>
      <c r="O22" s="97"/>
      <c r="P22" s="97"/>
      <c r="Q22" s="97"/>
      <c r="R22" s="97"/>
      <c r="S22" s="97"/>
    </row>
  </sheetData>
  <sheetProtection/>
  <mergeCells count="28">
    <mergeCell ref="Q10:Q11"/>
    <mergeCell ref="R10:R11"/>
    <mergeCell ref="S10:S11"/>
    <mergeCell ref="G10:G11"/>
    <mergeCell ref="H10:H11"/>
    <mergeCell ref="I10:I11"/>
    <mergeCell ref="J10:L10"/>
    <mergeCell ref="M10:O10"/>
    <mergeCell ref="P10:P11"/>
    <mergeCell ref="A10:A11"/>
    <mergeCell ref="B10:B11"/>
    <mergeCell ref="C10:C11"/>
    <mergeCell ref="D10:D11"/>
    <mergeCell ref="E10:E11"/>
    <mergeCell ref="F10:F11"/>
    <mergeCell ref="D6:F6"/>
    <mergeCell ref="G6:H6"/>
    <mergeCell ref="D7:F7"/>
    <mergeCell ref="G7:H7"/>
    <mergeCell ref="D8:F8"/>
    <mergeCell ref="G8:H8"/>
    <mergeCell ref="A1:S1"/>
    <mergeCell ref="A2:S2"/>
    <mergeCell ref="A3:S3"/>
    <mergeCell ref="D5:F5"/>
    <mergeCell ref="G5:H5"/>
    <mergeCell ref="K5:M5"/>
    <mergeCell ref="N5:P5"/>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8.xml><?xml version="1.0" encoding="utf-8"?>
<worksheet xmlns="http://schemas.openxmlformats.org/spreadsheetml/2006/main" xmlns:r="http://schemas.openxmlformats.org/officeDocument/2006/relationships">
  <dimension ref="A1:H8"/>
  <sheetViews>
    <sheetView showZeros="0" zoomScalePageLayoutView="0" workbookViewId="0" topLeftCell="A1">
      <selection activeCell="A1" sqref="A1"/>
    </sheetView>
  </sheetViews>
  <sheetFormatPr defaultColWidth="9.140625" defaultRowHeight="15"/>
  <cols>
    <col min="1" max="1" width="7.8515625" style="125" customWidth="1"/>
    <col min="2" max="2" width="36.28125" style="125" customWidth="1"/>
    <col min="3" max="3" width="9.00390625" style="125" customWidth="1"/>
    <col min="4" max="4" width="10.7109375" style="125" customWidth="1"/>
    <col min="5" max="5" width="12.421875" style="125" customWidth="1"/>
    <col min="6" max="7" width="12.57421875" style="125" customWidth="1"/>
    <col min="8" max="8" width="12.7109375" style="125" customWidth="1"/>
    <col min="9" max="16384" width="9.140625" style="125" customWidth="1"/>
  </cols>
  <sheetData>
    <row r="1" spans="1:8" ht="24" customHeight="1">
      <c r="A1" s="74"/>
      <c r="B1" s="241" t="s">
        <v>427</v>
      </c>
      <c r="C1" s="241"/>
      <c r="D1" s="241"/>
      <c r="E1" s="241"/>
      <c r="F1" s="241"/>
      <c r="G1" s="241"/>
      <c r="H1" s="241"/>
    </row>
    <row r="2" spans="1:8" ht="19.5" customHeight="1">
      <c r="A2" s="74"/>
      <c r="B2" s="234" t="str">
        <f>'Công trình'!A3</f>
        <v>CÔNG TRÌNH: ĐƯỜNG LÂM SINH XÃ HIỀN CHUNG, NAM ĐỘNG, PHÚ XUÂN, HUYỆN QUAN HÓA, TỈNH THANH HÓA</v>
      </c>
      <c r="C2" s="234"/>
      <c r="D2" s="234"/>
      <c r="E2" s="234"/>
      <c r="F2" s="234"/>
      <c r="G2" s="234"/>
      <c r="H2" s="234"/>
    </row>
    <row r="3" spans="1:8" ht="18" customHeight="1">
      <c r="A3" s="74"/>
      <c r="B3" s="240" t="str">
        <f>'Công trình'!A4</f>
        <v>HẠNG MỤC: XÃ HIỀN CHUNG</v>
      </c>
      <c r="C3" s="240"/>
      <c r="D3" s="240"/>
      <c r="E3" s="240"/>
      <c r="F3" s="240"/>
      <c r="G3" s="240"/>
      <c r="H3" s="240"/>
    </row>
    <row r="4" spans="1:8" ht="18" customHeight="1">
      <c r="A4" s="74"/>
      <c r="B4" s="43"/>
      <c r="C4" s="74"/>
      <c r="D4" s="97"/>
      <c r="E4" s="97"/>
      <c r="F4" s="97"/>
      <c r="G4" s="97"/>
      <c r="H4" s="97"/>
    </row>
    <row r="5" spans="1:8" ht="20.25" customHeight="1">
      <c r="A5" s="53" t="s">
        <v>279</v>
      </c>
      <c r="B5" s="7" t="s">
        <v>82</v>
      </c>
      <c r="C5" s="7" t="s">
        <v>486</v>
      </c>
      <c r="D5" s="152" t="s">
        <v>447</v>
      </c>
      <c r="E5" s="92" t="s">
        <v>107</v>
      </c>
      <c r="F5" s="92" t="s">
        <v>384</v>
      </c>
      <c r="G5" s="92" t="s">
        <v>315</v>
      </c>
      <c r="H5" s="92" t="s">
        <v>313</v>
      </c>
    </row>
    <row r="6" spans="1:8" ht="15">
      <c r="A6" s="1">
        <v>1</v>
      </c>
      <c r="B6" s="90" t="s">
        <v>463</v>
      </c>
      <c r="C6" s="119" t="s">
        <v>124</v>
      </c>
      <c r="D6" s="136">
        <v>2757.79</v>
      </c>
      <c r="E6" s="86">
        <v>10390.91</v>
      </c>
      <c r="F6" s="86">
        <v>15372.73</v>
      </c>
      <c r="G6" s="86">
        <f>F6-E6</f>
        <v>4981.82</v>
      </c>
      <c r="H6" s="86">
        <f>ROUND(D6*G6,0)</f>
        <v>13738813</v>
      </c>
    </row>
    <row r="7" spans="1:8" ht="18" customHeight="1">
      <c r="A7" s="91"/>
      <c r="B7" s="35"/>
      <c r="C7" s="64"/>
      <c r="D7" s="80"/>
      <c r="E7" s="19"/>
      <c r="F7" s="19"/>
      <c r="G7" s="19"/>
      <c r="H7" s="128">
        <f>SUM(H6:H6)</f>
        <v>13738813</v>
      </c>
    </row>
    <row r="8" spans="1:8" ht="18" customHeight="1">
      <c r="A8" s="74"/>
      <c r="B8" s="43"/>
      <c r="C8" s="74"/>
      <c r="D8" s="97"/>
      <c r="E8" s="97"/>
      <c r="F8" s="97"/>
      <c r="G8" s="97"/>
      <c r="H8" s="97"/>
    </row>
  </sheetData>
  <sheetProtection/>
  <mergeCells count="3">
    <mergeCell ref="B1:H1"/>
    <mergeCell ref="B2:H2"/>
    <mergeCell ref="B3:H3"/>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29.xml><?xml version="1.0" encoding="utf-8"?>
<worksheet xmlns="http://schemas.openxmlformats.org/spreadsheetml/2006/main" xmlns:r="http://schemas.openxmlformats.org/officeDocument/2006/relationships">
  <dimension ref="A1:Q32"/>
  <sheetViews>
    <sheetView showZeros="0" zoomScalePageLayoutView="0" workbookViewId="0" topLeftCell="A1">
      <selection activeCell="A1" sqref="A1:Q1"/>
    </sheetView>
  </sheetViews>
  <sheetFormatPr defaultColWidth="9.140625" defaultRowHeight="15"/>
  <cols>
    <col min="1" max="1" width="6.28125" style="125" customWidth="1"/>
    <col min="2" max="2" width="12.7109375" style="125" hidden="1" customWidth="1"/>
    <col min="3" max="3" width="36.8515625" style="125" customWidth="1"/>
    <col min="4" max="4" width="9.8515625" style="125" customWidth="1"/>
    <col min="5" max="5" width="12.00390625" style="125" customWidth="1"/>
    <col min="6" max="6" width="14.421875" style="125" customWidth="1"/>
    <col min="7" max="7" width="13.57421875" style="125" customWidth="1"/>
    <col min="8" max="8" width="11.57421875" style="125" customWidth="1"/>
    <col min="9" max="9" width="13.00390625" style="125" customWidth="1"/>
    <col min="10" max="10" width="10.7109375" style="125" customWidth="1"/>
    <col min="11" max="11" width="11.28125" style="125" customWidth="1"/>
    <col min="12" max="12" width="13.28125" style="125" customWidth="1"/>
    <col min="13" max="13" width="14.00390625" style="125" customWidth="1"/>
    <col min="14" max="14" width="13.57421875" style="125" customWidth="1"/>
    <col min="15" max="15" width="11.7109375" style="125" customWidth="1"/>
    <col min="16" max="16" width="12.8515625" style="125" customWidth="1"/>
    <col min="17" max="17" width="15.28125" style="125" customWidth="1"/>
    <col min="18" max="16384" width="9.140625" style="125" customWidth="1"/>
  </cols>
  <sheetData>
    <row r="1" spans="1:17" ht="22.5" customHeight="1">
      <c r="A1" s="241" t="s">
        <v>501</v>
      </c>
      <c r="B1" s="241"/>
      <c r="C1" s="241"/>
      <c r="D1" s="241"/>
      <c r="E1" s="241"/>
      <c r="F1" s="241"/>
      <c r="G1" s="241"/>
      <c r="H1" s="241"/>
      <c r="I1" s="241"/>
      <c r="J1" s="241"/>
      <c r="K1" s="241"/>
      <c r="L1" s="241"/>
      <c r="M1" s="241"/>
      <c r="N1" s="241"/>
      <c r="O1" s="241"/>
      <c r="P1" s="241"/>
      <c r="Q1" s="241"/>
    </row>
    <row r="2" spans="1:17" ht="18" customHeight="1">
      <c r="A2" s="256" t="s">
        <v>267</v>
      </c>
      <c r="B2" s="256"/>
      <c r="C2" s="256"/>
      <c r="D2" s="256"/>
      <c r="E2" s="256"/>
      <c r="F2" s="256"/>
      <c r="G2" s="256"/>
      <c r="H2" s="256"/>
      <c r="I2" s="256"/>
      <c r="J2" s="256"/>
      <c r="K2" s="256"/>
      <c r="L2" s="256"/>
      <c r="M2" s="256"/>
      <c r="N2" s="256"/>
      <c r="O2" s="256"/>
      <c r="P2" s="256"/>
      <c r="Q2" s="256"/>
    </row>
    <row r="3" spans="1:17" ht="18" customHeight="1">
      <c r="A3" s="74"/>
      <c r="B3" s="43"/>
      <c r="C3" s="43"/>
      <c r="D3" s="74"/>
      <c r="E3" s="97"/>
      <c r="F3" s="272" t="s">
        <v>96</v>
      </c>
      <c r="G3" s="272"/>
      <c r="H3" s="272"/>
      <c r="I3" s="97"/>
      <c r="J3" s="272" t="s">
        <v>240</v>
      </c>
      <c r="K3" s="272"/>
      <c r="L3" s="272"/>
      <c r="M3" s="272"/>
      <c r="N3" s="97"/>
      <c r="O3" s="97"/>
      <c r="P3" s="97"/>
      <c r="Q3" s="43"/>
    </row>
    <row r="4" spans="1:17" ht="15" hidden="1">
      <c r="A4" s="240" t="str">
        <f>'Công trình'!A3</f>
        <v>CÔNG TRÌNH: ĐƯỜNG LÂM SINH XÃ HIỀN CHUNG, NAM ĐỘNG, PHÚ XUÂN, HUYỆN QUAN HÓA, TỈNH THANH HÓA</v>
      </c>
      <c r="B4" s="240"/>
      <c r="C4" s="240"/>
      <c r="D4" s="240"/>
      <c r="E4" s="240"/>
      <c r="F4" s="240"/>
      <c r="G4" s="240"/>
      <c r="H4" s="240"/>
      <c r="I4" s="240"/>
      <c r="J4" s="240"/>
      <c r="K4" s="240"/>
      <c r="L4" s="240"/>
      <c r="M4" s="240"/>
      <c r="N4" s="240"/>
      <c r="O4" s="240"/>
      <c r="P4" s="240"/>
      <c r="Q4" s="240"/>
    </row>
    <row r="5" spans="1:17" ht="15" hidden="1">
      <c r="A5" s="240" t="s">
        <v>57</v>
      </c>
      <c r="B5" s="240"/>
      <c r="C5" s="240"/>
      <c r="D5" s="240"/>
      <c r="E5" s="240"/>
      <c r="F5" s="240"/>
      <c r="G5" s="240"/>
      <c r="H5" s="240"/>
      <c r="I5" s="240"/>
      <c r="J5" s="240"/>
      <c r="K5" s="240"/>
      <c r="L5" s="240"/>
      <c r="M5" s="240"/>
      <c r="N5" s="240"/>
      <c r="O5" s="240"/>
      <c r="P5" s="240"/>
      <c r="Q5" s="240"/>
    </row>
    <row r="6" spans="1:17" ht="18" customHeight="1">
      <c r="A6" s="273" t="s">
        <v>273</v>
      </c>
      <c r="B6" s="273"/>
      <c r="C6" s="273"/>
      <c r="D6" s="273"/>
      <c r="E6" s="273"/>
      <c r="F6" s="273"/>
      <c r="G6" s="273"/>
      <c r="H6" s="273"/>
      <c r="I6" s="273"/>
      <c r="J6" s="273"/>
      <c r="K6" s="273"/>
      <c r="L6" s="273"/>
      <c r="M6" s="273"/>
      <c r="N6" s="97"/>
      <c r="O6" s="97"/>
      <c r="P6" s="97"/>
      <c r="Q6" s="43"/>
    </row>
    <row r="7" spans="1:17" ht="18" customHeight="1">
      <c r="A7" s="273" t="s">
        <v>335</v>
      </c>
      <c r="B7" s="273"/>
      <c r="C7" s="273"/>
      <c r="D7" s="273"/>
      <c r="E7" s="273"/>
      <c r="F7" s="273"/>
      <c r="G7" s="273"/>
      <c r="H7" s="273"/>
      <c r="I7" s="273"/>
      <c r="J7" s="273"/>
      <c r="K7" s="273"/>
      <c r="L7" s="273"/>
      <c r="M7" s="273"/>
      <c r="N7" s="97"/>
      <c r="O7" s="97"/>
      <c r="P7" s="97"/>
      <c r="Q7" s="43"/>
    </row>
    <row r="8" spans="1:17" ht="18" customHeight="1">
      <c r="A8" s="273" t="s">
        <v>227</v>
      </c>
      <c r="B8" s="273"/>
      <c r="C8" s="273"/>
      <c r="D8" s="273"/>
      <c r="E8" s="273"/>
      <c r="F8" s="273"/>
      <c r="G8" s="273"/>
      <c r="H8" s="273"/>
      <c r="I8" s="273"/>
      <c r="J8" s="273"/>
      <c r="K8" s="273"/>
      <c r="L8" s="273"/>
      <c r="M8" s="273"/>
      <c r="N8" s="97"/>
      <c r="O8" s="97"/>
      <c r="P8" s="97"/>
      <c r="Q8" s="43"/>
    </row>
    <row r="9" spans="1:17" ht="18" customHeight="1">
      <c r="A9" s="273" t="s">
        <v>439</v>
      </c>
      <c r="B9" s="273"/>
      <c r="C9" s="273"/>
      <c r="D9" s="273"/>
      <c r="E9" s="273"/>
      <c r="F9" s="273"/>
      <c r="G9" s="273"/>
      <c r="H9" s="273"/>
      <c r="I9" s="273"/>
      <c r="J9" s="273"/>
      <c r="K9" s="273"/>
      <c r="L9" s="273"/>
      <c r="M9" s="273"/>
      <c r="N9" s="97"/>
      <c r="O9" s="97"/>
      <c r="P9" s="97"/>
      <c r="Q9" s="43"/>
    </row>
    <row r="10" spans="1:17" ht="18" customHeight="1">
      <c r="A10" s="273" t="s">
        <v>367</v>
      </c>
      <c r="B10" s="273"/>
      <c r="C10" s="273"/>
      <c r="D10" s="273"/>
      <c r="E10" s="273"/>
      <c r="F10" s="273"/>
      <c r="G10" s="273"/>
      <c r="H10" s="273"/>
      <c r="I10" s="273"/>
      <c r="J10" s="273"/>
      <c r="K10" s="273"/>
      <c r="L10" s="273"/>
      <c r="M10" s="273"/>
      <c r="N10" s="97"/>
      <c r="O10" s="97"/>
      <c r="P10" s="97"/>
      <c r="Q10" s="43"/>
    </row>
    <row r="11" spans="1:17" ht="18" customHeight="1">
      <c r="A11" s="273" t="s">
        <v>195</v>
      </c>
      <c r="B11" s="273"/>
      <c r="C11" s="273"/>
      <c r="D11" s="273"/>
      <c r="E11" s="273"/>
      <c r="F11" s="273"/>
      <c r="G11" s="273"/>
      <c r="H11" s="273"/>
      <c r="I11" s="273"/>
      <c r="J11" s="273"/>
      <c r="K11" s="273"/>
      <c r="L11" s="273"/>
      <c r="M11" s="273"/>
      <c r="N11" s="97"/>
      <c r="O11" s="97"/>
      <c r="P11" s="97"/>
      <c r="Q11" s="43"/>
    </row>
    <row r="12" spans="1:17" ht="18" customHeight="1">
      <c r="A12" s="273" t="s">
        <v>20</v>
      </c>
      <c r="B12" s="273"/>
      <c r="C12" s="273"/>
      <c r="D12" s="273"/>
      <c r="E12" s="273"/>
      <c r="F12" s="273"/>
      <c r="G12" s="273"/>
      <c r="H12" s="273"/>
      <c r="I12" s="273"/>
      <c r="J12" s="273"/>
      <c r="K12" s="273"/>
      <c r="L12" s="273"/>
      <c r="M12" s="273"/>
      <c r="N12" s="97"/>
      <c r="O12" s="97"/>
      <c r="P12" s="97"/>
      <c r="Q12" s="43"/>
    </row>
    <row r="13" spans="1:17" ht="18" customHeight="1">
      <c r="A13" s="273" t="s">
        <v>205</v>
      </c>
      <c r="B13" s="273"/>
      <c r="C13" s="273"/>
      <c r="D13" s="273"/>
      <c r="E13" s="273"/>
      <c r="F13" s="273"/>
      <c r="G13" s="273"/>
      <c r="H13" s="273"/>
      <c r="I13" s="273"/>
      <c r="J13" s="273"/>
      <c r="K13" s="273"/>
      <c r="L13" s="273"/>
      <c r="M13" s="273"/>
      <c r="N13" s="97"/>
      <c r="O13" s="97"/>
      <c r="P13" s="97"/>
      <c r="Q13" s="43"/>
    </row>
    <row r="14" spans="1:17" ht="16.5" customHeight="1">
      <c r="A14" s="74"/>
      <c r="B14" s="43"/>
      <c r="C14" s="43"/>
      <c r="D14" s="74"/>
      <c r="E14" s="97"/>
      <c r="F14" s="97"/>
      <c r="G14" s="97"/>
      <c r="H14" s="97"/>
      <c r="I14" s="97"/>
      <c r="J14" s="97"/>
      <c r="K14" s="97"/>
      <c r="L14" s="97"/>
      <c r="M14" s="97"/>
      <c r="N14" s="97"/>
      <c r="O14" s="97"/>
      <c r="P14" s="97"/>
      <c r="Q14" s="43"/>
    </row>
    <row r="15" spans="1:17" ht="18.75" customHeight="1">
      <c r="A15" s="254" t="s">
        <v>279</v>
      </c>
      <c r="B15" s="255" t="s">
        <v>285</v>
      </c>
      <c r="C15" s="248" t="s">
        <v>69</v>
      </c>
      <c r="D15" s="248" t="s">
        <v>362</v>
      </c>
      <c r="E15" s="253" t="s">
        <v>73</v>
      </c>
      <c r="F15" s="253"/>
      <c r="G15" s="253"/>
      <c r="H15" s="253"/>
      <c r="I15" s="253"/>
      <c r="J15" s="257" t="s">
        <v>38</v>
      </c>
      <c r="K15" s="257"/>
      <c r="L15" s="257" t="s">
        <v>480</v>
      </c>
      <c r="M15" s="257"/>
      <c r="N15" s="257"/>
      <c r="O15" s="257"/>
      <c r="P15" s="257"/>
      <c r="Q15" s="248" t="s">
        <v>166</v>
      </c>
    </row>
    <row r="16" spans="1:17" ht="18" customHeight="1">
      <c r="A16" s="254"/>
      <c r="B16" s="255"/>
      <c r="C16" s="248"/>
      <c r="D16" s="248"/>
      <c r="E16" s="253" t="s">
        <v>199</v>
      </c>
      <c r="F16" s="253"/>
      <c r="G16" s="253" t="s">
        <v>353</v>
      </c>
      <c r="H16" s="253"/>
      <c r="I16" s="253"/>
      <c r="J16" s="257" t="s">
        <v>40</v>
      </c>
      <c r="K16" s="257" t="s">
        <v>297</v>
      </c>
      <c r="L16" s="257" t="s">
        <v>199</v>
      </c>
      <c r="M16" s="257"/>
      <c r="N16" s="257" t="s">
        <v>353</v>
      </c>
      <c r="O16" s="257"/>
      <c r="P16" s="257"/>
      <c r="Q16" s="248"/>
    </row>
    <row r="17" spans="1:17" ht="63" customHeight="1">
      <c r="A17" s="254"/>
      <c r="B17" s="255"/>
      <c r="C17" s="248"/>
      <c r="D17" s="248"/>
      <c r="E17" s="34" t="s">
        <v>105</v>
      </c>
      <c r="F17" s="7" t="s">
        <v>173</v>
      </c>
      <c r="G17" s="34" t="s">
        <v>398</v>
      </c>
      <c r="H17" s="34" t="s">
        <v>34</v>
      </c>
      <c r="I17" s="34" t="s">
        <v>409</v>
      </c>
      <c r="J17" s="257"/>
      <c r="K17" s="257"/>
      <c r="L17" s="92" t="s">
        <v>314</v>
      </c>
      <c r="M17" s="7" t="s">
        <v>322</v>
      </c>
      <c r="N17" s="92" t="s">
        <v>398</v>
      </c>
      <c r="O17" s="92" t="s">
        <v>34</v>
      </c>
      <c r="P17" s="92" t="s">
        <v>409</v>
      </c>
      <c r="Q17" s="248"/>
    </row>
    <row r="18" spans="1:17" ht="15">
      <c r="A18" s="1"/>
      <c r="B18" s="90"/>
      <c r="C18" s="90"/>
      <c r="D18" s="119"/>
      <c r="E18" s="13"/>
      <c r="F18" s="151"/>
      <c r="G18" s="13"/>
      <c r="H18" s="13"/>
      <c r="I18" s="13">
        <f>G18+H18</f>
        <v>0</v>
      </c>
      <c r="J18" s="86"/>
      <c r="K18" s="86"/>
      <c r="L18" s="86">
        <f>ROUND(E18*J18,0)</f>
        <v>0</v>
      </c>
      <c r="M18" s="151">
        <f>ROUND(F18*K18,0)</f>
        <v>0</v>
      </c>
      <c r="N18" s="86">
        <f>ROUND(G18*(J18+K18),0)</f>
        <v>0</v>
      </c>
      <c r="O18" s="86">
        <f>ROUND(H18*(J18+K18),0)</f>
        <v>0</v>
      </c>
      <c r="P18" s="86">
        <f>ROUND(I18*(J18+K18),0)</f>
        <v>0</v>
      </c>
      <c r="Q18" s="90"/>
    </row>
    <row r="19" spans="1:17" ht="18.75" customHeight="1">
      <c r="A19" s="91"/>
      <c r="B19" s="35"/>
      <c r="C19" s="137" t="s">
        <v>445</v>
      </c>
      <c r="D19" s="64"/>
      <c r="E19" s="105"/>
      <c r="F19" s="88"/>
      <c r="G19" s="105"/>
      <c r="H19" s="105"/>
      <c r="I19" s="105"/>
      <c r="J19" s="19"/>
      <c r="K19" s="19"/>
      <c r="L19" s="128">
        <f>SUM(L18:L18)</f>
        <v>0</v>
      </c>
      <c r="M19" s="88"/>
      <c r="N19" s="128">
        <f>SUM(N18:N18)</f>
        <v>0</v>
      </c>
      <c r="O19" s="128">
        <f>SUM(O18:O18)</f>
        <v>0</v>
      </c>
      <c r="P19" s="128">
        <f>SUM(P18:P18)</f>
        <v>0</v>
      </c>
      <c r="Q19" s="35"/>
    </row>
    <row r="20" spans="1:17" ht="16.5" customHeight="1">
      <c r="A20" s="74"/>
      <c r="B20" s="43"/>
      <c r="C20" s="43"/>
      <c r="D20" s="74"/>
      <c r="E20" s="97"/>
      <c r="F20" s="97"/>
      <c r="G20" s="97"/>
      <c r="H20" s="97"/>
      <c r="I20" s="97"/>
      <c r="J20" s="97"/>
      <c r="K20" s="97"/>
      <c r="L20" s="97"/>
      <c r="M20" s="97"/>
      <c r="N20" s="97"/>
      <c r="O20" s="97"/>
      <c r="P20" s="97"/>
      <c r="Q20" s="43"/>
    </row>
    <row r="21" spans="1:17" ht="18" customHeight="1">
      <c r="A21" s="273" t="s">
        <v>436</v>
      </c>
      <c r="B21" s="273"/>
      <c r="C21" s="273"/>
      <c r="D21" s="273"/>
      <c r="E21" s="273"/>
      <c r="F21" s="273"/>
      <c r="G21" s="97"/>
      <c r="H21" s="97"/>
      <c r="I21" s="97"/>
      <c r="J21" s="97"/>
      <c r="K21" s="97"/>
      <c r="L21" s="97"/>
      <c r="M21" s="97"/>
      <c r="N21" s="97"/>
      <c r="O21" s="97"/>
      <c r="P21" s="97"/>
      <c r="Q21" s="43"/>
    </row>
    <row r="22" spans="1:17" ht="18" customHeight="1">
      <c r="A22" s="273" t="s">
        <v>378</v>
      </c>
      <c r="B22" s="273"/>
      <c r="C22" s="273"/>
      <c r="D22" s="273"/>
      <c r="E22" s="273"/>
      <c r="F22" s="273"/>
      <c r="G22" s="97"/>
      <c r="H22" s="97"/>
      <c r="I22" s="97"/>
      <c r="J22" s="97"/>
      <c r="K22" s="97"/>
      <c r="L22" s="97"/>
      <c r="M22" s="97"/>
      <c r="N22" s="97"/>
      <c r="O22" s="97"/>
      <c r="P22" s="97"/>
      <c r="Q22" s="43"/>
    </row>
    <row r="23" spans="1:17" ht="18" customHeight="1">
      <c r="A23" s="273" t="s">
        <v>63</v>
      </c>
      <c r="B23" s="273"/>
      <c r="C23" s="273"/>
      <c r="D23" s="273"/>
      <c r="E23" s="273"/>
      <c r="F23" s="273"/>
      <c r="G23" s="97"/>
      <c r="H23" s="97"/>
      <c r="I23" s="97"/>
      <c r="J23" s="97"/>
      <c r="K23" s="97"/>
      <c r="L23" s="97"/>
      <c r="M23" s="97"/>
      <c r="N23" s="97"/>
      <c r="O23" s="97"/>
      <c r="P23" s="97"/>
      <c r="Q23" s="43"/>
    </row>
    <row r="24" spans="1:17" ht="18" customHeight="1">
      <c r="A24" s="273" t="s">
        <v>260</v>
      </c>
      <c r="B24" s="273"/>
      <c r="C24" s="273"/>
      <c r="D24" s="273"/>
      <c r="E24" s="273"/>
      <c r="F24" s="273"/>
      <c r="G24" s="97"/>
      <c r="H24" s="97"/>
      <c r="I24" s="97"/>
      <c r="J24" s="97"/>
      <c r="K24" s="97"/>
      <c r="L24" s="97"/>
      <c r="M24" s="97"/>
      <c r="N24" s="97"/>
      <c r="O24" s="97"/>
      <c r="P24" s="97"/>
      <c r="Q24" s="43"/>
    </row>
    <row r="25" spans="1:17" ht="18" customHeight="1">
      <c r="A25" s="273" t="s">
        <v>503</v>
      </c>
      <c r="B25" s="273"/>
      <c r="C25" s="273"/>
      <c r="D25" s="273"/>
      <c r="E25" s="273"/>
      <c r="F25" s="273"/>
      <c r="G25" s="97"/>
      <c r="H25" s="97"/>
      <c r="I25" s="97"/>
      <c r="J25" s="97"/>
      <c r="K25" s="97"/>
      <c r="L25" s="97"/>
      <c r="M25" s="97"/>
      <c r="N25" s="97"/>
      <c r="O25" s="97"/>
      <c r="P25" s="97"/>
      <c r="Q25" s="43"/>
    </row>
    <row r="26" spans="1:17" ht="18" customHeight="1">
      <c r="A26" s="273" t="s">
        <v>262</v>
      </c>
      <c r="B26" s="273"/>
      <c r="C26" s="273"/>
      <c r="D26" s="273"/>
      <c r="E26" s="273"/>
      <c r="F26" s="273"/>
      <c r="G26" s="97"/>
      <c r="H26" s="97"/>
      <c r="I26" s="97"/>
      <c r="J26" s="97"/>
      <c r="K26" s="97"/>
      <c r="L26" s="97"/>
      <c r="M26" s="97"/>
      <c r="N26" s="97"/>
      <c r="O26" s="97"/>
      <c r="P26" s="97"/>
      <c r="Q26" s="43"/>
    </row>
    <row r="27" spans="1:17" ht="18" customHeight="1">
      <c r="A27" s="272" t="s">
        <v>253</v>
      </c>
      <c r="B27" s="272"/>
      <c r="C27" s="272"/>
      <c r="D27" s="272"/>
      <c r="E27" s="272"/>
      <c r="F27" s="272"/>
      <c r="G27" s="97"/>
      <c r="H27" s="97"/>
      <c r="I27" s="97"/>
      <c r="J27" s="97"/>
      <c r="K27" s="97"/>
      <c r="L27" s="97"/>
      <c r="M27" s="97"/>
      <c r="N27" s="97"/>
      <c r="O27" s="97"/>
      <c r="P27" s="97"/>
      <c r="Q27" s="43"/>
    </row>
    <row r="28" spans="1:17" ht="18" customHeight="1">
      <c r="A28" s="273" t="s">
        <v>103</v>
      </c>
      <c r="B28" s="273"/>
      <c r="C28" s="273"/>
      <c r="D28" s="273"/>
      <c r="E28" s="273"/>
      <c r="F28" s="273"/>
      <c r="G28" s="97"/>
      <c r="H28" s="97"/>
      <c r="I28" s="97"/>
      <c r="J28" s="97"/>
      <c r="K28" s="97"/>
      <c r="L28" s="97"/>
      <c r="M28" s="97"/>
      <c r="N28" s="97"/>
      <c r="O28" s="97"/>
      <c r="P28" s="97"/>
      <c r="Q28" s="43"/>
    </row>
    <row r="29" spans="1:17" ht="18" customHeight="1">
      <c r="A29" s="74"/>
      <c r="B29" s="43"/>
      <c r="C29" s="43"/>
      <c r="D29" s="74"/>
      <c r="E29" s="97"/>
      <c r="F29" s="97"/>
      <c r="G29" s="97"/>
      <c r="H29" s="97"/>
      <c r="I29" s="97"/>
      <c r="J29" s="97"/>
      <c r="K29" s="274" t="s">
        <v>363</v>
      </c>
      <c r="L29" s="274"/>
      <c r="M29" s="274"/>
      <c r="N29" s="274"/>
      <c r="O29" s="274"/>
      <c r="P29" s="274"/>
      <c r="Q29" s="43"/>
    </row>
    <row r="30" spans="1:17" ht="30.75" customHeight="1">
      <c r="A30" s="240" t="s">
        <v>190</v>
      </c>
      <c r="B30" s="240"/>
      <c r="C30" s="240"/>
      <c r="D30" s="240" t="s">
        <v>264</v>
      </c>
      <c r="E30" s="240"/>
      <c r="F30" s="240"/>
      <c r="G30" s="240"/>
      <c r="H30" s="240"/>
      <c r="I30" s="97"/>
      <c r="J30" s="97"/>
      <c r="K30" s="275" t="s">
        <v>369</v>
      </c>
      <c r="L30" s="275"/>
      <c r="M30" s="275"/>
      <c r="N30" s="275"/>
      <c r="O30" s="275"/>
      <c r="P30" s="275"/>
      <c r="Q30" s="43"/>
    </row>
    <row r="31" spans="1:17" ht="18" customHeight="1">
      <c r="A31" s="256" t="s">
        <v>320</v>
      </c>
      <c r="B31" s="256"/>
      <c r="C31" s="256"/>
      <c r="D31" s="256" t="s">
        <v>320</v>
      </c>
      <c r="E31" s="256"/>
      <c r="F31" s="256"/>
      <c r="G31" s="256"/>
      <c r="H31" s="256"/>
      <c r="I31" s="97"/>
      <c r="J31" s="97"/>
      <c r="K31" s="274" t="s">
        <v>320</v>
      </c>
      <c r="L31" s="274"/>
      <c r="M31" s="274"/>
      <c r="N31" s="274"/>
      <c r="O31" s="274"/>
      <c r="P31" s="274"/>
      <c r="Q31" s="43"/>
    </row>
    <row r="32" spans="1:17" ht="16.5" customHeight="1">
      <c r="A32" s="74"/>
      <c r="B32" s="43"/>
      <c r="C32" s="43"/>
      <c r="D32" s="74"/>
      <c r="E32" s="97"/>
      <c r="F32" s="97"/>
      <c r="G32" s="97"/>
      <c r="H32" s="97"/>
      <c r="I32" s="97"/>
      <c r="J32" s="97"/>
      <c r="K32" s="97"/>
      <c r="L32" s="97"/>
      <c r="M32" s="97"/>
      <c r="N32" s="97"/>
      <c r="O32" s="97"/>
      <c r="P32" s="97"/>
      <c r="Q32" s="43"/>
    </row>
  </sheetData>
  <sheetProtection/>
  <mergeCells count="43">
    <mergeCell ref="A31:C31"/>
    <mergeCell ref="D31:H31"/>
    <mergeCell ref="K31:P31"/>
    <mergeCell ref="A27:F27"/>
    <mergeCell ref="A28:F28"/>
    <mergeCell ref="K29:P29"/>
    <mergeCell ref="A30:C30"/>
    <mergeCell ref="D30:H30"/>
    <mergeCell ref="K30:P30"/>
    <mergeCell ref="A21:F21"/>
    <mergeCell ref="A22:F22"/>
    <mergeCell ref="A23:F23"/>
    <mergeCell ref="A24:F24"/>
    <mergeCell ref="A25:F25"/>
    <mergeCell ref="A26:F26"/>
    <mergeCell ref="Q15:Q17"/>
    <mergeCell ref="E16:F16"/>
    <mergeCell ref="G16:I16"/>
    <mergeCell ref="J16:J17"/>
    <mergeCell ref="K16:K17"/>
    <mergeCell ref="L16:M16"/>
    <mergeCell ref="N16:P16"/>
    <mergeCell ref="A12:M12"/>
    <mergeCell ref="A13:M13"/>
    <mergeCell ref="A15:A17"/>
    <mergeCell ref="B15:B17"/>
    <mergeCell ref="C15:C17"/>
    <mergeCell ref="D15:D17"/>
    <mergeCell ref="E15:I15"/>
    <mergeCell ref="J15:K15"/>
    <mergeCell ref="L15:P15"/>
    <mergeCell ref="A6:M6"/>
    <mergeCell ref="A7:M7"/>
    <mergeCell ref="A8:M8"/>
    <mergeCell ref="A9:M9"/>
    <mergeCell ref="A10:M10"/>
    <mergeCell ref="A11:M11"/>
    <mergeCell ref="A1:Q1"/>
    <mergeCell ref="A2:Q2"/>
    <mergeCell ref="F3:H3"/>
    <mergeCell ref="J3:M3"/>
    <mergeCell ref="A4:Q4"/>
    <mergeCell ref="A5:Q5"/>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xml><?xml version="1.0" encoding="utf-8"?>
<worksheet xmlns="http://schemas.openxmlformats.org/spreadsheetml/2006/main" xmlns:r="http://schemas.openxmlformats.org/officeDocument/2006/relationships">
  <sheetPr>
    <tabColor theme="0"/>
  </sheetPr>
  <dimension ref="A1:E40"/>
  <sheetViews>
    <sheetView showZeros="0" zoomScalePageLayoutView="0" workbookViewId="0" topLeftCell="A16">
      <selection activeCell="C29" sqref="C29"/>
    </sheetView>
  </sheetViews>
  <sheetFormatPr defaultColWidth="9.140625" defaultRowHeight="15"/>
  <cols>
    <col min="1" max="1" width="6.28125" style="125" customWidth="1"/>
    <col min="2" max="2" width="52.57421875" style="125" customWidth="1"/>
    <col min="3" max="3" width="49.421875" style="125" customWidth="1"/>
    <col min="4" max="4" width="22.8515625" style="125" customWidth="1"/>
    <col min="5" max="5" width="11.421875" style="125" customWidth="1"/>
    <col min="6" max="16384" width="9.140625" style="125" customWidth="1"/>
  </cols>
  <sheetData>
    <row r="1" spans="1:5" ht="19.5">
      <c r="A1" s="241" t="s">
        <v>161</v>
      </c>
      <c r="B1" s="241"/>
      <c r="C1" s="241"/>
      <c r="D1" s="241"/>
      <c r="E1" s="241"/>
    </row>
    <row r="2" spans="1:5" ht="15.75">
      <c r="A2" s="234" t="str">
        <f>'Công trình'!A3</f>
        <v>CÔNG TRÌNH: ĐƯỜNG LÂM SINH XÃ HIỀN CHUNG, NAM ĐỘNG, PHÚ XUÂN, HUYỆN QUAN HÓA, TỈNH THANH HÓA</v>
      </c>
      <c r="B2" s="234"/>
      <c r="C2" s="234"/>
      <c r="D2" s="234"/>
      <c r="E2" s="234"/>
    </row>
    <row r="3" spans="1:5" ht="15">
      <c r="A3" s="240" t="str">
        <f>'Công trình'!A4</f>
        <v>HẠNG MỤC: XÃ HIỀN CHUNG</v>
      </c>
      <c r="B3" s="240"/>
      <c r="C3" s="240"/>
      <c r="D3" s="240"/>
      <c r="E3" s="240"/>
    </row>
    <row r="4" spans="1:5" ht="15">
      <c r="A4" s="74"/>
      <c r="B4" s="43"/>
      <c r="C4" s="233" t="s">
        <v>280</v>
      </c>
      <c r="D4" s="233"/>
      <c r="E4" s="233"/>
    </row>
    <row r="5" spans="1:5" ht="15">
      <c r="A5" s="53" t="s">
        <v>279</v>
      </c>
      <c r="B5" s="7" t="s">
        <v>86</v>
      </c>
      <c r="C5" s="7" t="s">
        <v>101</v>
      </c>
      <c r="D5" s="92" t="s">
        <v>410</v>
      </c>
      <c r="E5" s="7" t="s">
        <v>432</v>
      </c>
    </row>
    <row r="6" spans="1:5" ht="15">
      <c r="A6" s="1" t="s">
        <v>241</v>
      </c>
      <c r="B6" s="90" t="s">
        <v>219</v>
      </c>
      <c r="C6" s="119"/>
      <c r="D6" s="86"/>
      <c r="E6" s="119"/>
    </row>
    <row r="7" spans="1:5" ht="15">
      <c r="A7" s="72">
        <v>1</v>
      </c>
      <c r="B7" s="156" t="s">
        <v>248</v>
      </c>
      <c r="C7" s="31" t="str">
        <f>"(VLG + CLVL)"</f>
        <v>(VLG + CLVL)</v>
      </c>
      <c r="D7" s="143">
        <f>ROUND((D8+D9),0)</f>
        <v>0</v>
      </c>
      <c r="E7" s="31" t="s">
        <v>172</v>
      </c>
    </row>
    <row r="8" spans="1:5" ht="15">
      <c r="A8" s="30"/>
      <c r="B8" s="109" t="s">
        <v>347</v>
      </c>
      <c r="C8" s="146" t="s">
        <v>154</v>
      </c>
      <c r="D8" s="104">
        <f>'Công trình'!Q14+'Công trình'!R14</f>
        <v>0</v>
      </c>
      <c r="E8" s="146" t="s">
        <v>265</v>
      </c>
    </row>
    <row r="9" spans="1:5" ht="15">
      <c r="A9" s="30"/>
      <c r="B9" s="109" t="s">
        <v>28</v>
      </c>
      <c r="C9" s="146" t="s">
        <v>360</v>
      </c>
      <c r="D9" s="104">
        <f>'Vật liệu'!AC9</f>
        <v>0</v>
      </c>
      <c r="E9" s="146" t="s">
        <v>355</v>
      </c>
    </row>
    <row r="10" spans="1:5" ht="15">
      <c r="A10" s="72">
        <v>2</v>
      </c>
      <c r="B10" s="156" t="s">
        <v>162</v>
      </c>
      <c r="C10" s="31" t="str">
        <f>"BNC"</f>
        <v>BNC</v>
      </c>
      <c r="D10" s="143">
        <f>ROUND(D13,0)</f>
        <v>72529403</v>
      </c>
      <c r="E10" s="31" t="s">
        <v>391</v>
      </c>
    </row>
    <row r="11" spans="1:5" ht="15">
      <c r="A11" s="30"/>
      <c r="B11" s="109" t="s">
        <v>226</v>
      </c>
      <c r="C11" s="146" t="s">
        <v>154</v>
      </c>
      <c r="D11" s="104">
        <f>'Công trình'!S14</f>
        <v>67784712</v>
      </c>
      <c r="E11" s="146" t="s">
        <v>106</v>
      </c>
    </row>
    <row r="12" spans="1:5" ht="15">
      <c r="A12" s="30"/>
      <c r="B12" s="109" t="s">
        <v>6</v>
      </c>
      <c r="C12" s="146" t="s">
        <v>132</v>
      </c>
      <c r="D12" s="104">
        <f>'Nhân công'!P11</f>
        <v>4744691</v>
      </c>
      <c r="E12" s="146" t="s">
        <v>45</v>
      </c>
    </row>
    <row r="13" spans="1:5" ht="15">
      <c r="A13" s="30"/>
      <c r="B13" s="109" t="s">
        <v>390</v>
      </c>
      <c r="C13" s="146" t="str">
        <f>"(NCG + CLNC) x 1"</f>
        <v>(NCG + CLNC) x 1</v>
      </c>
      <c r="D13" s="104">
        <f>ROUND((D11+D12)*'Hệ số'!C3,0)</f>
        <v>72529403</v>
      </c>
      <c r="E13" s="146" t="s">
        <v>465</v>
      </c>
    </row>
    <row r="14" spans="1:5" ht="15">
      <c r="A14" s="72">
        <v>3</v>
      </c>
      <c r="B14" s="156" t="s">
        <v>387</v>
      </c>
      <c r="C14" s="31" t="str">
        <f>"BM"</f>
        <v>BM</v>
      </c>
      <c r="D14" s="143">
        <f>ROUND(D17,0)</f>
        <v>88103188</v>
      </c>
      <c r="E14" s="31" t="s">
        <v>406</v>
      </c>
    </row>
    <row r="15" spans="1:5" ht="15">
      <c r="A15" s="30"/>
      <c r="B15" s="109" t="s">
        <v>464</v>
      </c>
      <c r="C15" s="146" t="s">
        <v>154</v>
      </c>
      <c r="D15" s="104">
        <f>'Công trình'!T14</f>
        <v>73656134</v>
      </c>
      <c r="E15" s="146" t="s">
        <v>135</v>
      </c>
    </row>
    <row r="16" spans="1:5" ht="15">
      <c r="A16" s="30"/>
      <c r="B16" s="109" t="s">
        <v>209</v>
      </c>
      <c r="C16" s="146" t="s">
        <v>180</v>
      </c>
      <c r="D16" s="104">
        <f>'Máy thi công'!P11</f>
        <v>14447054</v>
      </c>
      <c r="E16" s="146" t="s">
        <v>481</v>
      </c>
    </row>
    <row r="17" spans="1:5" ht="15">
      <c r="A17" s="30"/>
      <c r="B17" s="109" t="s">
        <v>442</v>
      </c>
      <c r="C17" s="146" t="str">
        <f>"(MG + CLM) x 1"</f>
        <v>(MG + CLM) x 1</v>
      </c>
      <c r="D17" s="104">
        <f>ROUND((D15+D16)*'Hệ số'!C2,0)</f>
        <v>88103188</v>
      </c>
      <c r="E17" s="146" t="s">
        <v>396</v>
      </c>
    </row>
    <row r="18" spans="1:5" ht="15">
      <c r="A18" s="72"/>
      <c r="B18" s="156" t="s">
        <v>184</v>
      </c>
      <c r="C18" s="31" t="str">
        <f>"VL + NC + M"</f>
        <v>VL + NC + M</v>
      </c>
      <c r="D18" s="143">
        <f>ROUND(D7+D10+D14,0)</f>
        <v>160632591</v>
      </c>
      <c r="E18" s="31" t="s">
        <v>306</v>
      </c>
    </row>
    <row r="19" spans="1:5" ht="15">
      <c r="A19" s="30" t="s">
        <v>443</v>
      </c>
      <c r="B19" s="109" t="s">
        <v>277</v>
      </c>
      <c r="C19" s="146"/>
      <c r="D19" s="104"/>
      <c r="E19" s="146"/>
    </row>
    <row r="20" spans="1:5" ht="15">
      <c r="A20" s="30">
        <v>1</v>
      </c>
      <c r="B20" s="109" t="s">
        <v>255</v>
      </c>
      <c r="C20" s="146" t="str">
        <f>"T x 6,2%"</f>
        <v>T x 6,2%</v>
      </c>
      <c r="D20" s="104">
        <f>ROUND(D18*'Hệ số'!C4,0)</f>
        <v>9959221</v>
      </c>
      <c r="E20" s="146" t="s">
        <v>256</v>
      </c>
    </row>
    <row r="21" spans="1:5" ht="15">
      <c r="A21" s="30">
        <v>2</v>
      </c>
      <c r="B21" s="109" t="s">
        <v>117</v>
      </c>
      <c r="C21" s="146" t="str">
        <f>"T x 2,3%"</f>
        <v>T x 2,3%</v>
      </c>
      <c r="D21" s="104">
        <f>ROUND(D18*'Hệ số'!C6,0)</f>
        <v>3694550</v>
      </c>
      <c r="E21" s="146" t="s">
        <v>133</v>
      </c>
    </row>
    <row r="22" spans="1:5" ht="30">
      <c r="A22" s="30">
        <v>3</v>
      </c>
      <c r="B22" s="109" t="s">
        <v>450</v>
      </c>
      <c r="C22" s="146" t="str">
        <f>"T x 2%"</f>
        <v>T x 2%</v>
      </c>
      <c r="D22" s="104">
        <f>ROUND(D18*'Hệ số'!C9,0)</f>
        <v>3212652</v>
      </c>
      <c r="E22" s="146" t="s">
        <v>215</v>
      </c>
    </row>
    <row r="23" spans="1:5" ht="15">
      <c r="A23" s="72"/>
      <c r="B23" s="156" t="s">
        <v>246</v>
      </c>
      <c r="C23" s="31" t="str">
        <f>"C + LT + TT"</f>
        <v>C + LT + TT</v>
      </c>
      <c r="D23" s="143">
        <f>D20+D21+D22</f>
        <v>16866423</v>
      </c>
      <c r="E23" s="31" t="s">
        <v>202</v>
      </c>
    </row>
    <row r="24" spans="1:5" ht="15">
      <c r="A24" s="30" t="s">
        <v>18</v>
      </c>
      <c r="B24" s="109" t="s">
        <v>476</v>
      </c>
      <c r="C24" s="146" t="str">
        <f>"(T + GT) x 6%"</f>
        <v>(T + GT) x 6%</v>
      </c>
      <c r="D24" s="104">
        <f>ROUND((D18+D23)*'Hệ số'!C8,0)</f>
        <v>10649941</v>
      </c>
      <c r="E24" s="146" t="s">
        <v>435</v>
      </c>
    </row>
    <row r="25" spans="1:5" ht="15">
      <c r="A25" s="72"/>
      <c r="B25" s="156" t="s">
        <v>496</v>
      </c>
      <c r="C25" s="31" t="str">
        <f>"T + GT + TL"</f>
        <v>T + GT + TL</v>
      </c>
      <c r="D25" s="143">
        <f>ROUND(D18+D23+D24,0)</f>
        <v>188148955</v>
      </c>
      <c r="E25" s="31" t="s">
        <v>429</v>
      </c>
    </row>
    <row r="26" spans="1:5" ht="15">
      <c r="A26" s="30" t="s">
        <v>325</v>
      </c>
      <c r="B26" s="109" t="s">
        <v>449</v>
      </c>
      <c r="C26" s="146" t="str">
        <f>"G x 10%"</f>
        <v>G x 10%</v>
      </c>
      <c r="D26" s="104">
        <f>ROUND(D25*'Hệ số'!C10,0)</f>
        <v>18814896</v>
      </c>
      <c r="E26" s="146" t="s">
        <v>17</v>
      </c>
    </row>
    <row r="27" spans="1:5" ht="15">
      <c r="A27" s="72"/>
      <c r="B27" s="156" t="s">
        <v>477</v>
      </c>
      <c r="C27" s="31" t="str">
        <f>"G + GTGT"</f>
        <v>G + GTGT</v>
      </c>
      <c r="D27" s="143">
        <f>ROUND(D25+D26,0)</f>
        <v>206963851</v>
      </c>
      <c r="E27" s="31" t="s">
        <v>11</v>
      </c>
    </row>
    <row r="28" spans="1:5" ht="15">
      <c r="A28" s="140"/>
      <c r="B28" s="101" t="s">
        <v>19</v>
      </c>
      <c r="C28" s="101" t="str">
        <f>"Gxd"</f>
        <v>Gxd</v>
      </c>
      <c r="D28" s="73">
        <f>ROUND(D27,0)</f>
        <v>206963851</v>
      </c>
      <c r="E28" s="101"/>
    </row>
    <row r="29" spans="1:5" ht="15">
      <c r="A29" s="91"/>
      <c r="B29" s="95" t="s">
        <v>386</v>
      </c>
      <c r="C29" s="64" t="s">
        <v>298</v>
      </c>
      <c r="D29" s="61">
        <f>ROUND(D28,-3)</f>
        <v>206964000</v>
      </c>
      <c r="E29" s="64"/>
    </row>
    <row r="30" spans="1:5" ht="15">
      <c r="A30" s="239" t="s">
        <v>541</v>
      </c>
      <c r="B30" s="239"/>
      <c r="C30" s="239"/>
      <c r="D30" s="239"/>
      <c r="E30" s="239"/>
    </row>
    <row r="31" spans="1:5" ht="15">
      <c r="A31" s="74"/>
      <c r="B31" s="43"/>
      <c r="C31" s="242" t="s">
        <v>112</v>
      </c>
      <c r="D31" s="242"/>
      <c r="E31" s="242"/>
    </row>
    <row r="32" spans="1:5" ht="15">
      <c r="A32" s="74"/>
      <c r="B32" s="74" t="s">
        <v>492</v>
      </c>
      <c r="C32" s="238" t="s">
        <v>418</v>
      </c>
      <c r="D32" s="238"/>
      <c r="E32" s="238"/>
    </row>
    <row r="33" spans="1:5" ht="15">
      <c r="A33" s="74"/>
      <c r="B33" s="43"/>
      <c r="C33" s="74"/>
      <c r="D33" s="97"/>
      <c r="E33" s="74"/>
    </row>
    <row r="34" spans="1:5" ht="15">
      <c r="A34" s="74"/>
      <c r="B34" s="43"/>
      <c r="C34" s="74"/>
      <c r="D34" s="97"/>
      <c r="E34" s="74"/>
    </row>
    <row r="35" spans="1:5" ht="15">
      <c r="A35" s="74"/>
      <c r="B35" s="43"/>
      <c r="C35" s="74"/>
      <c r="D35" s="97"/>
      <c r="E35" s="74"/>
    </row>
    <row r="36" spans="1:5" ht="15">
      <c r="A36" s="74"/>
      <c r="B36" s="43"/>
      <c r="C36" s="74"/>
      <c r="D36" s="97"/>
      <c r="E36" s="74"/>
    </row>
    <row r="37" spans="1:5" ht="15">
      <c r="A37" s="74"/>
      <c r="B37" s="74" t="s">
        <v>116</v>
      </c>
      <c r="C37" s="238" t="s">
        <v>116</v>
      </c>
      <c r="D37" s="238"/>
      <c r="E37" s="238"/>
    </row>
    <row r="38" spans="1:5" ht="15">
      <c r="A38" s="74"/>
      <c r="B38" s="74" t="s">
        <v>458</v>
      </c>
      <c r="C38" s="238" t="s">
        <v>379</v>
      </c>
      <c r="D38" s="238"/>
      <c r="E38" s="238"/>
    </row>
    <row r="39" spans="1:5" ht="15">
      <c r="A39" s="74"/>
      <c r="B39" s="43"/>
      <c r="C39" s="238" t="s">
        <v>142</v>
      </c>
      <c r="D39" s="238"/>
      <c r="E39" s="238"/>
    </row>
    <row r="40" spans="1:5" ht="15">
      <c r="A40" s="74"/>
      <c r="B40" s="43"/>
      <c r="C40" s="74"/>
      <c r="D40" s="97"/>
      <c r="E40" s="74"/>
    </row>
  </sheetData>
  <sheetProtection/>
  <mergeCells count="10">
    <mergeCell ref="C32:E32"/>
    <mergeCell ref="C37:E37"/>
    <mergeCell ref="C38:E38"/>
    <mergeCell ref="C39:E39"/>
    <mergeCell ref="A1:E1"/>
    <mergeCell ref="A2:E2"/>
    <mergeCell ref="A3:E3"/>
    <mergeCell ref="C4:E4"/>
    <mergeCell ref="A30:E30"/>
    <mergeCell ref="C31:E31"/>
  </mergeCells>
  <printOptions horizontalCentered="1"/>
  <pageMargins left="0.3" right="0.2" top="0.5" bottom="0.3" header="0.3" footer="0.3"/>
  <pageSetup horizontalDpi="600" verticalDpi="600" orientation="landscape" paperSize="9" r:id="rId1"/>
  <headerFooter alignWithMargins="0">
    <oddHeader>&amp;L&amp;BDự toán F1</oddHeader>
  </headerFooter>
</worksheet>
</file>

<file path=xl/worksheets/sheet30.xml><?xml version="1.0" encoding="utf-8"?>
<worksheet xmlns="http://schemas.openxmlformats.org/spreadsheetml/2006/main" xmlns:r="http://schemas.openxmlformats.org/officeDocument/2006/relationships">
  <dimension ref="A1:O31"/>
  <sheetViews>
    <sheetView showZeros="0" zoomScalePageLayoutView="0" workbookViewId="0" topLeftCell="A1">
      <selection activeCell="A1" sqref="A1:O1"/>
    </sheetView>
  </sheetViews>
  <sheetFormatPr defaultColWidth="9.140625" defaultRowHeight="15"/>
  <cols>
    <col min="1" max="1" width="6.28125" style="125" customWidth="1"/>
    <col min="2" max="2" width="12.7109375" style="125" customWidth="1"/>
    <col min="3" max="3" width="31.57421875" style="125" customWidth="1"/>
    <col min="4" max="4" width="9.8515625" style="125" customWidth="1"/>
    <col min="5" max="5" width="12.00390625" style="125" customWidth="1"/>
    <col min="6" max="6" width="13.57421875" style="125" customWidth="1"/>
    <col min="7" max="7" width="11.7109375" style="125" customWidth="1"/>
    <col min="8" max="8" width="13.140625" style="125" customWidth="1"/>
    <col min="9" max="9" width="10.7109375" style="125" customWidth="1"/>
    <col min="10" max="10" width="10.140625" style="125" customWidth="1"/>
    <col min="11" max="11" width="13.28125" style="125" hidden="1" customWidth="1"/>
    <col min="12" max="12" width="13.57421875" style="125" customWidth="1"/>
    <col min="13" max="13" width="11.7109375" style="125" customWidth="1"/>
    <col min="14" max="14" width="14.00390625" style="125" customWidth="1"/>
    <col min="15" max="15" width="15.28125" style="125" customWidth="1"/>
    <col min="16" max="16384" width="9.140625" style="125" customWidth="1"/>
  </cols>
  <sheetData>
    <row r="1" spans="1:15" ht="22.5" customHeight="1">
      <c r="A1" s="241" t="s">
        <v>62</v>
      </c>
      <c r="B1" s="241"/>
      <c r="C1" s="241"/>
      <c r="D1" s="241"/>
      <c r="E1" s="241"/>
      <c r="F1" s="241"/>
      <c r="G1" s="241"/>
      <c r="H1" s="241"/>
      <c r="I1" s="241"/>
      <c r="J1" s="241"/>
      <c r="K1" s="241"/>
      <c r="L1" s="241"/>
      <c r="M1" s="241"/>
      <c r="N1" s="241"/>
      <c r="O1" s="241"/>
    </row>
    <row r="2" spans="1:15" ht="18" customHeight="1">
      <c r="A2" s="256" t="s">
        <v>383</v>
      </c>
      <c r="B2" s="256"/>
      <c r="C2" s="256"/>
      <c r="D2" s="256"/>
      <c r="E2" s="256"/>
      <c r="F2" s="256"/>
      <c r="G2" s="256"/>
      <c r="H2" s="256"/>
      <c r="I2" s="256"/>
      <c r="J2" s="256"/>
      <c r="K2" s="256"/>
      <c r="L2" s="256"/>
      <c r="M2" s="256"/>
      <c r="N2" s="256"/>
      <c r="O2" s="256"/>
    </row>
    <row r="3" spans="1:15" ht="18" customHeight="1">
      <c r="A3" s="240" t="str">
        <f>'Công trình'!A3</f>
        <v>CÔNG TRÌNH: ĐƯỜNG LÂM SINH XÃ HIỀN CHUNG, NAM ĐỘNG, PHÚ XUÂN, HUYỆN QUAN HÓA, TỈNH THANH HÓA</v>
      </c>
      <c r="B3" s="240"/>
      <c r="C3" s="240"/>
      <c r="D3" s="240"/>
      <c r="E3" s="240"/>
      <c r="F3" s="240"/>
      <c r="G3" s="240"/>
      <c r="H3" s="240"/>
      <c r="I3" s="240"/>
      <c r="J3" s="240"/>
      <c r="K3" s="240"/>
      <c r="L3" s="240"/>
      <c r="M3" s="240"/>
      <c r="N3" s="240"/>
      <c r="O3" s="240"/>
    </row>
    <row r="4" spans="1:15" ht="18" customHeight="1">
      <c r="A4" s="240" t="s">
        <v>57</v>
      </c>
      <c r="B4" s="240"/>
      <c r="C4" s="240"/>
      <c r="D4" s="240"/>
      <c r="E4" s="240"/>
      <c r="F4" s="240"/>
      <c r="G4" s="240"/>
      <c r="H4" s="240"/>
      <c r="I4" s="240"/>
      <c r="J4" s="240"/>
      <c r="K4" s="240"/>
      <c r="L4" s="240"/>
      <c r="M4" s="240"/>
      <c r="N4" s="240"/>
      <c r="O4" s="240"/>
    </row>
    <row r="5" spans="1:15" ht="18" customHeight="1">
      <c r="A5" s="273" t="s">
        <v>273</v>
      </c>
      <c r="B5" s="273"/>
      <c r="C5" s="273"/>
      <c r="D5" s="273"/>
      <c r="E5" s="273"/>
      <c r="F5" s="273"/>
      <c r="G5" s="273"/>
      <c r="H5" s="273"/>
      <c r="I5" s="273"/>
      <c r="J5" s="273"/>
      <c r="K5" s="273"/>
      <c r="L5" s="273"/>
      <c r="M5" s="97"/>
      <c r="N5" s="97"/>
      <c r="O5" s="43"/>
    </row>
    <row r="6" spans="1:15" ht="18" customHeight="1">
      <c r="A6" s="273" t="s">
        <v>335</v>
      </c>
      <c r="B6" s="273"/>
      <c r="C6" s="273"/>
      <c r="D6" s="273"/>
      <c r="E6" s="273"/>
      <c r="F6" s="273"/>
      <c r="G6" s="273"/>
      <c r="H6" s="273"/>
      <c r="I6" s="273"/>
      <c r="J6" s="273"/>
      <c r="K6" s="273"/>
      <c r="L6" s="273"/>
      <c r="M6" s="97"/>
      <c r="N6" s="97"/>
      <c r="O6" s="43"/>
    </row>
    <row r="7" spans="1:15" ht="18" customHeight="1">
      <c r="A7" s="273" t="s">
        <v>402</v>
      </c>
      <c r="B7" s="273"/>
      <c r="C7" s="273"/>
      <c r="D7" s="273"/>
      <c r="E7" s="273"/>
      <c r="F7" s="273"/>
      <c r="G7" s="273"/>
      <c r="H7" s="273"/>
      <c r="I7" s="273"/>
      <c r="J7" s="273"/>
      <c r="K7" s="273"/>
      <c r="L7" s="273"/>
      <c r="M7" s="97"/>
      <c r="N7" s="97"/>
      <c r="O7" s="43"/>
    </row>
    <row r="8" spans="1:15" ht="18" customHeight="1">
      <c r="A8" s="273" t="s">
        <v>439</v>
      </c>
      <c r="B8" s="273"/>
      <c r="C8" s="273"/>
      <c r="D8" s="273"/>
      <c r="E8" s="273"/>
      <c r="F8" s="273"/>
      <c r="G8" s="273"/>
      <c r="H8" s="273"/>
      <c r="I8" s="273"/>
      <c r="J8" s="273"/>
      <c r="K8" s="273"/>
      <c r="L8" s="273"/>
      <c r="M8" s="97"/>
      <c r="N8" s="97"/>
      <c r="O8" s="43"/>
    </row>
    <row r="9" spans="1:15" ht="18" customHeight="1">
      <c r="A9" s="273" t="s">
        <v>367</v>
      </c>
      <c r="B9" s="273"/>
      <c r="C9" s="273"/>
      <c r="D9" s="273"/>
      <c r="E9" s="273"/>
      <c r="F9" s="273"/>
      <c r="G9" s="273"/>
      <c r="H9" s="273"/>
      <c r="I9" s="273"/>
      <c r="J9" s="273"/>
      <c r="K9" s="273"/>
      <c r="L9" s="273"/>
      <c r="M9" s="97"/>
      <c r="N9" s="97"/>
      <c r="O9" s="43"/>
    </row>
    <row r="10" spans="1:15" ht="18" customHeight="1">
      <c r="A10" s="273" t="s">
        <v>195</v>
      </c>
      <c r="B10" s="273"/>
      <c r="C10" s="273"/>
      <c r="D10" s="273"/>
      <c r="E10" s="273"/>
      <c r="F10" s="273"/>
      <c r="G10" s="273"/>
      <c r="H10" s="273"/>
      <c r="I10" s="273"/>
      <c r="J10" s="273"/>
      <c r="K10" s="273"/>
      <c r="L10" s="273"/>
      <c r="M10" s="97"/>
      <c r="N10" s="97"/>
      <c r="O10" s="43"/>
    </row>
    <row r="11" spans="1:15" ht="18" customHeight="1">
      <c r="A11" s="273" t="s">
        <v>20</v>
      </c>
      <c r="B11" s="273"/>
      <c r="C11" s="273"/>
      <c r="D11" s="273"/>
      <c r="E11" s="273"/>
      <c r="F11" s="273"/>
      <c r="G11" s="273"/>
      <c r="H11" s="273"/>
      <c r="I11" s="273"/>
      <c r="J11" s="273"/>
      <c r="K11" s="273"/>
      <c r="L11" s="273"/>
      <c r="M11" s="97"/>
      <c r="N11" s="97"/>
      <c r="O11" s="43"/>
    </row>
    <row r="12" spans="1:15" ht="18" customHeight="1">
      <c r="A12" s="273" t="s">
        <v>205</v>
      </c>
      <c r="B12" s="273"/>
      <c r="C12" s="273"/>
      <c r="D12" s="273"/>
      <c r="E12" s="273"/>
      <c r="F12" s="273"/>
      <c r="G12" s="273"/>
      <c r="H12" s="273"/>
      <c r="I12" s="273"/>
      <c r="J12" s="273"/>
      <c r="K12" s="273"/>
      <c r="L12" s="273"/>
      <c r="M12" s="97"/>
      <c r="N12" s="97"/>
      <c r="O12" s="43"/>
    </row>
    <row r="13" spans="1:15" ht="16.5" customHeight="1">
      <c r="A13" s="74"/>
      <c r="B13" s="43"/>
      <c r="C13" s="43"/>
      <c r="D13" s="74"/>
      <c r="E13" s="97"/>
      <c r="F13" s="97"/>
      <c r="G13" s="97"/>
      <c r="H13" s="97"/>
      <c r="I13" s="97"/>
      <c r="J13" s="97"/>
      <c r="K13" s="97"/>
      <c r="L13" s="97"/>
      <c r="M13" s="97"/>
      <c r="N13" s="97"/>
      <c r="O13" s="43"/>
    </row>
    <row r="14" spans="1:15" ht="18.75" customHeight="1">
      <c r="A14" s="254" t="s">
        <v>279</v>
      </c>
      <c r="B14" s="255" t="s">
        <v>507</v>
      </c>
      <c r="C14" s="248" t="s">
        <v>231</v>
      </c>
      <c r="D14" s="248" t="s">
        <v>362</v>
      </c>
      <c r="E14" s="253" t="s">
        <v>328</v>
      </c>
      <c r="F14" s="253"/>
      <c r="G14" s="253"/>
      <c r="H14" s="253"/>
      <c r="I14" s="248" t="s">
        <v>38</v>
      </c>
      <c r="J14" s="248"/>
      <c r="K14" s="257" t="s">
        <v>480</v>
      </c>
      <c r="L14" s="257"/>
      <c r="M14" s="257"/>
      <c r="N14" s="257"/>
      <c r="O14" s="248" t="s">
        <v>166</v>
      </c>
    </row>
    <row r="15" spans="1:15" ht="22.5" customHeight="1">
      <c r="A15" s="254"/>
      <c r="B15" s="255"/>
      <c r="C15" s="248"/>
      <c r="D15" s="248"/>
      <c r="E15" s="253" t="s">
        <v>151</v>
      </c>
      <c r="F15" s="253" t="s">
        <v>353</v>
      </c>
      <c r="G15" s="253"/>
      <c r="H15" s="253"/>
      <c r="I15" s="248" t="s">
        <v>40</v>
      </c>
      <c r="J15" s="257" t="s">
        <v>274</v>
      </c>
      <c r="K15" s="257" t="s">
        <v>235</v>
      </c>
      <c r="L15" s="257" t="s">
        <v>353</v>
      </c>
      <c r="M15" s="257"/>
      <c r="N15" s="257"/>
      <c r="O15" s="248"/>
    </row>
    <row r="16" spans="1:15" ht="30.75" customHeight="1">
      <c r="A16" s="254"/>
      <c r="B16" s="255"/>
      <c r="C16" s="248"/>
      <c r="D16" s="248"/>
      <c r="E16" s="253"/>
      <c r="F16" s="34" t="s">
        <v>398</v>
      </c>
      <c r="G16" s="34" t="s">
        <v>34</v>
      </c>
      <c r="H16" s="34" t="s">
        <v>409</v>
      </c>
      <c r="I16" s="248"/>
      <c r="J16" s="257"/>
      <c r="K16" s="257"/>
      <c r="L16" s="92" t="s">
        <v>398</v>
      </c>
      <c r="M16" s="92" t="s">
        <v>34</v>
      </c>
      <c r="N16" s="92" t="s">
        <v>409</v>
      </c>
      <c r="O16" s="248"/>
    </row>
    <row r="17" spans="1:15" ht="15">
      <c r="A17" s="1"/>
      <c r="B17" s="90"/>
      <c r="C17" s="90"/>
      <c r="D17" s="119"/>
      <c r="E17" s="13"/>
      <c r="F17" s="13"/>
      <c r="G17" s="13"/>
      <c r="H17" s="13">
        <f>F17+G17</f>
        <v>0</v>
      </c>
      <c r="I17" s="151"/>
      <c r="J17" s="86"/>
      <c r="K17" s="86">
        <f>ROUND(E17*I17,0)</f>
        <v>0</v>
      </c>
      <c r="L17" s="86">
        <f>ROUND(F17*(I17+J17),0)</f>
        <v>0</v>
      </c>
      <c r="M17" s="86">
        <f>ROUND(G17*(I17+J17),0)</f>
        <v>0</v>
      </c>
      <c r="N17" s="86">
        <f>ROUND(H17*(I17+J17),0)</f>
        <v>0</v>
      </c>
      <c r="O17" s="90"/>
    </row>
    <row r="18" spans="1:15" ht="18" customHeight="1">
      <c r="A18" s="91"/>
      <c r="B18" s="35"/>
      <c r="C18" s="137" t="s">
        <v>445</v>
      </c>
      <c r="D18" s="64"/>
      <c r="E18" s="105"/>
      <c r="F18" s="105"/>
      <c r="G18" s="105"/>
      <c r="H18" s="105"/>
      <c r="I18" s="88"/>
      <c r="J18" s="19"/>
      <c r="K18" s="128">
        <f>SUM(K17:K17)</f>
        <v>0</v>
      </c>
      <c r="L18" s="128">
        <f>SUM(L17:L17)</f>
        <v>0</v>
      </c>
      <c r="M18" s="128">
        <f>SUM(M17:M17)</f>
        <v>0</v>
      </c>
      <c r="N18" s="128">
        <f>SUM(N17:N17)</f>
        <v>0</v>
      </c>
      <c r="O18" s="35"/>
    </row>
    <row r="19" spans="1:15" ht="16.5" customHeight="1">
      <c r="A19" s="74"/>
      <c r="B19" s="43"/>
      <c r="C19" s="43"/>
      <c r="D19" s="74"/>
      <c r="E19" s="97"/>
      <c r="F19" s="97"/>
      <c r="G19" s="97"/>
      <c r="H19" s="97"/>
      <c r="I19" s="97"/>
      <c r="J19" s="97"/>
      <c r="K19" s="97"/>
      <c r="L19" s="97"/>
      <c r="M19" s="97"/>
      <c r="N19" s="97"/>
      <c r="O19" s="43"/>
    </row>
    <row r="20" spans="1:15" ht="18" customHeight="1">
      <c r="A20" s="273" t="s">
        <v>497</v>
      </c>
      <c r="B20" s="273"/>
      <c r="C20" s="273"/>
      <c r="D20" s="273"/>
      <c r="E20" s="273"/>
      <c r="F20" s="97"/>
      <c r="G20" s="97"/>
      <c r="H20" s="97"/>
      <c r="I20" s="97"/>
      <c r="J20" s="97"/>
      <c r="K20" s="97"/>
      <c r="L20" s="97"/>
      <c r="M20" s="97"/>
      <c r="N20" s="97"/>
      <c r="O20" s="43"/>
    </row>
    <row r="21" spans="1:15" ht="18" customHeight="1">
      <c r="A21" s="273" t="s">
        <v>378</v>
      </c>
      <c r="B21" s="273"/>
      <c r="C21" s="273"/>
      <c r="D21" s="273"/>
      <c r="E21" s="273"/>
      <c r="F21" s="97"/>
      <c r="G21" s="97"/>
      <c r="H21" s="97"/>
      <c r="I21" s="97"/>
      <c r="J21" s="97"/>
      <c r="K21" s="97"/>
      <c r="L21" s="97"/>
      <c r="M21" s="97"/>
      <c r="N21" s="97"/>
      <c r="O21" s="43"/>
    </row>
    <row r="22" spans="1:15" ht="18" customHeight="1">
      <c r="A22" s="273" t="s">
        <v>63</v>
      </c>
      <c r="B22" s="273"/>
      <c r="C22" s="273"/>
      <c r="D22" s="273"/>
      <c r="E22" s="273"/>
      <c r="F22" s="97"/>
      <c r="G22" s="97"/>
      <c r="H22" s="97"/>
      <c r="I22" s="97"/>
      <c r="J22" s="97"/>
      <c r="K22" s="97"/>
      <c r="L22" s="97"/>
      <c r="M22" s="97"/>
      <c r="N22" s="97"/>
      <c r="O22" s="43"/>
    </row>
    <row r="23" spans="1:15" ht="18" customHeight="1">
      <c r="A23" s="273" t="s">
        <v>260</v>
      </c>
      <c r="B23" s="273"/>
      <c r="C23" s="273"/>
      <c r="D23" s="273"/>
      <c r="E23" s="273"/>
      <c r="F23" s="97"/>
      <c r="G23" s="97"/>
      <c r="H23" s="97"/>
      <c r="I23" s="97"/>
      <c r="J23" s="97"/>
      <c r="K23" s="97"/>
      <c r="L23" s="97"/>
      <c r="M23" s="97"/>
      <c r="N23" s="97"/>
      <c r="O23" s="43"/>
    </row>
    <row r="24" spans="1:15" ht="18" customHeight="1">
      <c r="A24" s="273" t="s">
        <v>232</v>
      </c>
      <c r="B24" s="273"/>
      <c r="C24" s="273"/>
      <c r="D24" s="273"/>
      <c r="E24" s="273"/>
      <c r="F24" s="97"/>
      <c r="G24" s="97"/>
      <c r="H24" s="97"/>
      <c r="I24" s="97"/>
      <c r="J24" s="97"/>
      <c r="K24" s="97"/>
      <c r="L24" s="97"/>
      <c r="M24" s="97"/>
      <c r="N24" s="97"/>
      <c r="O24" s="43"/>
    </row>
    <row r="25" spans="1:15" ht="18" customHeight="1">
      <c r="A25" s="273" t="s">
        <v>262</v>
      </c>
      <c r="B25" s="273"/>
      <c r="C25" s="273"/>
      <c r="D25" s="273"/>
      <c r="E25" s="273"/>
      <c r="F25" s="97"/>
      <c r="G25" s="97"/>
      <c r="H25" s="97"/>
      <c r="I25" s="97"/>
      <c r="J25" s="97"/>
      <c r="K25" s="97"/>
      <c r="L25" s="97"/>
      <c r="M25" s="97"/>
      <c r="N25" s="97"/>
      <c r="O25" s="43"/>
    </row>
    <row r="26" spans="1:15" ht="18" customHeight="1">
      <c r="A26" s="272" t="s">
        <v>253</v>
      </c>
      <c r="B26" s="272"/>
      <c r="C26" s="272"/>
      <c r="D26" s="272"/>
      <c r="E26" s="272"/>
      <c r="F26" s="97"/>
      <c r="G26" s="97"/>
      <c r="H26" s="97"/>
      <c r="I26" s="97"/>
      <c r="J26" s="97"/>
      <c r="K26" s="97"/>
      <c r="L26" s="97"/>
      <c r="M26" s="97"/>
      <c r="N26" s="97"/>
      <c r="O26" s="43"/>
    </row>
    <row r="27" spans="1:15" ht="18" customHeight="1">
      <c r="A27" s="273" t="s">
        <v>103</v>
      </c>
      <c r="B27" s="273"/>
      <c r="C27" s="273"/>
      <c r="D27" s="273"/>
      <c r="E27" s="273"/>
      <c r="F27" s="97"/>
      <c r="G27" s="97"/>
      <c r="H27" s="97"/>
      <c r="I27" s="97"/>
      <c r="J27" s="97"/>
      <c r="K27" s="97"/>
      <c r="L27" s="97"/>
      <c r="M27" s="97"/>
      <c r="N27" s="97"/>
      <c r="O27" s="43"/>
    </row>
    <row r="28" spans="1:15" ht="18" customHeight="1">
      <c r="A28" s="74"/>
      <c r="B28" s="43"/>
      <c r="C28" s="43"/>
      <c r="D28" s="74"/>
      <c r="E28" s="97"/>
      <c r="F28" s="97"/>
      <c r="G28" s="97"/>
      <c r="H28" s="97"/>
      <c r="I28" s="274" t="s">
        <v>363</v>
      </c>
      <c r="J28" s="274"/>
      <c r="K28" s="274"/>
      <c r="L28" s="274"/>
      <c r="M28" s="274"/>
      <c r="N28" s="97"/>
      <c r="O28" s="43"/>
    </row>
    <row r="29" spans="1:15" ht="18" customHeight="1">
      <c r="A29" s="240" t="s">
        <v>190</v>
      </c>
      <c r="B29" s="240"/>
      <c r="C29" s="240"/>
      <c r="D29" s="240" t="s">
        <v>264</v>
      </c>
      <c r="E29" s="240"/>
      <c r="F29" s="240"/>
      <c r="G29" s="240"/>
      <c r="H29" s="97"/>
      <c r="I29" s="275" t="s">
        <v>359</v>
      </c>
      <c r="J29" s="275"/>
      <c r="K29" s="275"/>
      <c r="L29" s="275"/>
      <c r="M29" s="275"/>
      <c r="N29" s="97"/>
      <c r="O29" s="43"/>
    </row>
    <row r="30" spans="1:15" ht="18" customHeight="1">
      <c r="A30" s="256" t="s">
        <v>320</v>
      </c>
      <c r="B30" s="256"/>
      <c r="C30" s="256"/>
      <c r="D30" s="256" t="s">
        <v>320</v>
      </c>
      <c r="E30" s="256"/>
      <c r="F30" s="256"/>
      <c r="G30" s="256"/>
      <c r="H30" s="97"/>
      <c r="I30" s="274" t="s">
        <v>320</v>
      </c>
      <c r="J30" s="274"/>
      <c r="K30" s="274"/>
      <c r="L30" s="274"/>
      <c r="M30" s="274"/>
      <c r="N30" s="97"/>
      <c r="O30" s="43"/>
    </row>
    <row r="31" spans="1:15" ht="16.5" customHeight="1">
      <c r="A31" s="74"/>
      <c r="B31" s="43"/>
      <c r="C31" s="43"/>
      <c r="D31" s="74"/>
      <c r="E31" s="97"/>
      <c r="F31" s="97"/>
      <c r="G31" s="97"/>
      <c r="H31" s="97"/>
      <c r="I31" s="97"/>
      <c r="J31" s="97"/>
      <c r="K31" s="97"/>
      <c r="L31" s="97"/>
      <c r="M31" s="97"/>
      <c r="N31" s="97"/>
      <c r="O31" s="43"/>
    </row>
  </sheetData>
  <sheetProtection/>
  <mergeCells count="41">
    <mergeCell ref="A30:C30"/>
    <mergeCell ref="D30:G30"/>
    <mergeCell ref="I30:M30"/>
    <mergeCell ref="A26:E26"/>
    <mergeCell ref="A27:E27"/>
    <mergeCell ref="I28:M28"/>
    <mergeCell ref="A29:C29"/>
    <mergeCell ref="D29:G29"/>
    <mergeCell ref="I29:M29"/>
    <mergeCell ref="A20:E20"/>
    <mergeCell ref="A21:E21"/>
    <mergeCell ref="A22:E22"/>
    <mergeCell ref="A23:E23"/>
    <mergeCell ref="A24:E24"/>
    <mergeCell ref="A25:E25"/>
    <mergeCell ref="K14:N14"/>
    <mergeCell ref="O14:O16"/>
    <mergeCell ref="E15:E16"/>
    <mergeCell ref="F15:H15"/>
    <mergeCell ref="I15:I16"/>
    <mergeCell ref="J15:J16"/>
    <mergeCell ref="K15:K16"/>
    <mergeCell ref="L15:N15"/>
    <mergeCell ref="A14:A16"/>
    <mergeCell ref="B14:B16"/>
    <mergeCell ref="C14:C16"/>
    <mergeCell ref="D14:D16"/>
    <mergeCell ref="E14:H14"/>
    <mergeCell ref="I14:J14"/>
    <mergeCell ref="A7:L7"/>
    <mergeCell ref="A8:L8"/>
    <mergeCell ref="A9:L9"/>
    <mergeCell ref="A10:L10"/>
    <mergeCell ref="A11:L11"/>
    <mergeCell ref="A12:L12"/>
    <mergeCell ref="A1:O1"/>
    <mergeCell ref="A2:O2"/>
    <mergeCell ref="A3:O3"/>
    <mergeCell ref="A4:O4"/>
    <mergeCell ref="A5:L5"/>
    <mergeCell ref="A6:L6"/>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1.xml><?xml version="1.0" encoding="utf-8"?>
<worksheet xmlns="http://schemas.openxmlformats.org/spreadsheetml/2006/main" xmlns:r="http://schemas.openxmlformats.org/officeDocument/2006/relationships">
  <dimension ref="A1:R18"/>
  <sheetViews>
    <sheetView showZeros="0" zoomScalePageLayoutView="0" workbookViewId="0" topLeftCell="A1">
      <selection activeCell="A1" sqref="A1:R1"/>
    </sheetView>
  </sheetViews>
  <sheetFormatPr defaultColWidth="9.140625" defaultRowHeight="15"/>
  <cols>
    <col min="1" max="1" width="6.140625" style="125" customWidth="1"/>
    <col min="2" max="2" width="10.8515625" style="125" customWidth="1"/>
    <col min="3" max="3" width="11.140625" style="125" hidden="1" customWidth="1"/>
    <col min="4" max="4" width="42.421875" style="125" customWidth="1"/>
    <col min="5" max="5" width="9.140625" style="125" customWidth="1"/>
    <col min="6" max="6" width="8.28125" style="125" hidden="1" customWidth="1"/>
    <col min="7" max="7" width="38.421875" style="125" hidden="1" customWidth="1"/>
    <col min="8" max="8" width="13.421875" style="125" customWidth="1"/>
    <col min="9" max="9" width="14.57421875" style="125" customWidth="1"/>
    <col min="10" max="10" width="15.421875" style="125" hidden="1" customWidth="1"/>
    <col min="11" max="11" width="14.8515625" style="125" customWidth="1"/>
    <col min="12" max="12" width="13.57421875" style="125" customWidth="1"/>
    <col min="13" max="13" width="11.421875" style="125" customWidth="1"/>
    <col min="14" max="14" width="12.00390625" style="125" customWidth="1"/>
    <col min="15" max="15" width="13.8515625" style="125" customWidth="1"/>
    <col min="16" max="16" width="15.421875" style="125" customWidth="1"/>
    <col min="17" max="17" width="15.57421875" style="125" customWidth="1"/>
    <col min="18" max="18" width="15.421875" style="125" customWidth="1"/>
    <col min="19" max="16384" width="9.140625" style="125" customWidth="1"/>
  </cols>
  <sheetData>
    <row r="1" spans="1:18" ht="22.5" customHeight="1">
      <c r="A1" s="241" t="s">
        <v>293</v>
      </c>
      <c r="B1" s="241"/>
      <c r="C1" s="241"/>
      <c r="D1" s="241"/>
      <c r="E1" s="241"/>
      <c r="F1" s="241"/>
      <c r="G1" s="241"/>
      <c r="H1" s="241"/>
      <c r="I1" s="241"/>
      <c r="J1" s="241"/>
      <c r="K1" s="241"/>
      <c r="L1" s="241"/>
      <c r="M1" s="241"/>
      <c r="N1" s="241"/>
      <c r="O1" s="241"/>
      <c r="P1" s="241"/>
      <c r="Q1" s="241"/>
      <c r="R1" s="241"/>
    </row>
    <row r="2" spans="1:18" ht="19.5" customHeight="1">
      <c r="A2" s="234" t="str">
        <f>'Công trình'!A3</f>
        <v>CÔNG TRÌNH: ĐƯỜNG LÂM SINH XÃ HIỀN CHUNG, NAM ĐỘNG, PHÚ XUÂN, HUYỆN QUAN HÓA, TỈNH THANH HÓA</v>
      </c>
      <c r="B2" s="234"/>
      <c r="C2" s="234"/>
      <c r="D2" s="234"/>
      <c r="E2" s="234"/>
      <c r="F2" s="234"/>
      <c r="G2" s="234"/>
      <c r="H2" s="234"/>
      <c r="I2" s="234"/>
      <c r="J2" s="234"/>
      <c r="K2" s="234"/>
      <c r="L2" s="234"/>
      <c r="M2" s="234"/>
      <c r="N2" s="234"/>
      <c r="O2" s="234"/>
      <c r="P2" s="234"/>
      <c r="Q2" s="234"/>
      <c r="R2" s="234"/>
    </row>
    <row r="3" spans="1:18" ht="16.5" customHeight="1">
      <c r="A3" s="74"/>
      <c r="B3" s="43"/>
      <c r="C3" s="97"/>
      <c r="D3" s="43"/>
      <c r="E3" s="74"/>
      <c r="F3" s="97"/>
      <c r="G3" s="43"/>
      <c r="H3" s="97"/>
      <c r="I3" s="97"/>
      <c r="J3" s="97"/>
      <c r="K3" s="97"/>
      <c r="L3" s="97"/>
      <c r="M3" s="97"/>
      <c r="N3" s="97"/>
      <c r="O3" s="97"/>
      <c r="P3" s="97"/>
      <c r="Q3" s="97"/>
      <c r="R3" s="97"/>
    </row>
    <row r="4" spans="1:18" ht="36" customHeight="1">
      <c r="A4" s="53" t="s">
        <v>279</v>
      </c>
      <c r="B4" s="51" t="s">
        <v>285</v>
      </c>
      <c r="C4" s="7" t="s">
        <v>389</v>
      </c>
      <c r="D4" s="7" t="s">
        <v>321</v>
      </c>
      <c r="E4" s="7" t="s">
        <v>486</v>
      </c>
      <c r="F4" s="7" t="s">
        <v>247</v>
      </c>
      <c r="G4" s="7" t="s">
        <v>276</v>
      </c>
      <c r="H4" s="34" t="s">
        <v>73</v>
      </c>
      <c r="I4" s="92" t="s">
        <v>107</v>
      </c>
      <c r="J4" s="92" t="s">
        <v>352</v>
      </c>
      <c r="K4" s="92" t="s">
        <v>213</v>
      </c>
      <c r="L4" s="92" t="s">
        <v>129</v>
      </c>
      <c r="M4" s="92" t="s">
        <v>92</v>
      </c>
      <c r="N4" s="92" t="s">
        <v>504</v>
      </c>
      <c r="O4" s="92" t="s">
        <v>384</v>
      </c>
      <c r="P4" s="92" t="s">
        <v>315</v>
      </c>
      <c r="Q4" s="92" t="s">
        <v>305</v>
      </c>
      <c r="R4" s="92" t="s">
        <v>313</v>
      </c>
    </row>
    <row r="5" spans="1:18" ht="15">
      <c r="A5" s="1"/>
      <c r="B5" s="90"/>
      <c r="C5" s="151"/>
      <c r="D5" s="50" t="s">
        <v>59</v>
      </c>
      <c r="E5" s="119"/>
      <c r="F5" s="151"/>
      <c r="G5" s="90"/>
      <c r="H5" s="13"/>
      <c r="I5" s="86"/>
      <c r="J5" s="86"/>
      <c r="K5" s="86"/>
      <c r="L5" s="86"/>
      <c r="M5" s="86"/>
      <c r="N5" s="86"/>
      <c r="O5" s="86"/>
      <c r="P5" s="86"/>
      <c r="Q5" s="86"/>
      <c r="R5" s="86"/>
    </row>
    <row r="6" spans="1:18" ht="15">
      <c r="A6" s="30">
        <v>1</v>
      </c>
      <c r="B6" s="153" t="s">
        <v>210</v>
      </c>
      <c r="C6" s="18">
        <v>1</v>
      </c>
      <c r="D6" s="109" t="s">
        <v>171</v>
      </c>
      <c r="E6" s="146" t="s">
        <v>67</v>
      </c>
      <c r="F6" s="18"/>
      <c r="G6" s="109"/>
      <c r="H6" s="42">
        <f>SUM(H7:H9)</f>
        <v>370.6211</v>
      </c>
      <c r="I6" s="104">
        <v>182895</v>
      </c>
      <c r="J6" s="104"/>
      <c r="K6" s="38">
        <v>195697</v>
      </c>
      <c r="L6" s="104"/>
      <c r="M6" s="104"/>
      <c r="N6" s="104"/>
      <c r="O6" s="38">
        <f>'Nhân công'!N6</f>
        <v>195697</v>
      </c>
      <c r="P6" s="104">
        <f>O6-I6</f>
        <v>12802</v>
      </c>
      <c r="Q6" s="104">
        <f>ROUND(H6*P6,0)</f>
        <v>4744691</v>
      </c>
      <c r="R6" s="104">
        <f>ROUND(H6*O6,0)</f>
        <v>72529437</v>
      </c>
    </row>
    <row r="7" spans="1:18" ht="15" hidden="1">
      <c r="A7" s="30"/>
      <c r="B7" s="47" t="str">
        <f>'Công trình'!C11</f>
        <v>AB.11513</v>
      </c>
      <c r="C7" s="18"/>
      <c r="D7" s="47" t="str">
        <f>'Công trình'!D11</f>
        <v>Đào rãnh đất bằng thủ công (3%KL) cấp III</v>
      </c>
      <c r="E7" s="146" t="str">
        <f>'Công trình'!E11</f>
        <v>m3</v>
      </c>
      <c r="F7" s="99">
        <v>1</v>
      </c>
      <c r="G7" s="109"/>
      <c r="H7" s="121">
        <f>'Hao phí vật tư'!L20</f>
        <v>16.281</v>
      </c>
      <c r="I7" s="104"/>
      <c r="J7" s="104"/>
      <c r="K7" s="104"/>
      <c r="L7" s="104"/>
      <c r="M7" s="104"/>
      <c r="N7" s="104"/>
      <c r="O7" s="104"/>
      <c r="P7" s="104"/>
      <c r="Q7" s="38">
        <f>ROUND(H7*P6,2)</f>
        <v>208429.36</v>
      </c>
      <c r="R7" s="38">
        <f>ROUND(H7*O6,2)</f>
        <v>3186142.86</v>
      </c>
    </row>
    <row r="8" spans="1:18" ht="30" hidden="1">
      <c r="A8" s="30"/>
      <c r="B8" s="47" t="str">
        <f>'Công trình'!C7</f>
        <v>AB.31123</v>
      </c>
      <c r="C8" s="18"/>
      <c r="D8" s="47" t="str">
        <f>'Công trình'!D7</f>
        <v>Đào nền đường bằng máy đào 0,8m3 - Cấp đất III</v>
      </c>
      <c r="E8" s="146" t="str">
        <f>'Công trình'!E7</f>
        <v>100m3</v>
      </c>
      <c r="F8" s="99">
        <v>1</v>
      </c>
      <c r="G8" s="109"/>
      <c r="H8" s="121">
        <f>'Hao phí vật tư'!L9</f>
        <v>331.1351</v>
      </c>
      <c r="I8" s="104"/>
      <c r="J8" s="104"/>
      <c r="K8" s="104"/>
      <c r="L8" s="104"/>
      <c r="M8" s="104"/>
      <c r="N8" s="104"/>
      <c r="O8" s="104"/>
      <c r="P8" s="104"/>
      <c r="Q8" s="38">
        <f>ROUND(H8*P6,2)</f>
        <v>4239191.55</v>
      </c>
      <c r="R8" s="38">
        <f>ROUND(H8*O6,2)</f>
        <v>64802145.66</v>
      </c>
    </row>
    <row r="9" spans="1:18" ht="30" hidden="1">
      <c r="A9" s="30"/>
      <c r="B9" s="47" t="str">
        <f>'Công trình'!C9</f>
        <v>AB.27113</v>
      </c>
      <c r="C9" s="18"/>
      <c r="D9" s="47" t="str">
        <f>'Công trình'!D9</f>
        <v>Đào rãnh bằng máy thi công - Cấp đất III (95%KL)</v>
      </c>
      <c r="E9" s="146" t="str">
        <f>'Công trình'!E9</f>
        <v>100m3</v>
      </c>
      <c r="F9" s="99">
        <v>1</v>
      </c>
      <c r="G9" s="109"/>
      <c r="H9" s="121">
        <f>'Hao phí vật tư'!L15</f>
        <v>23.205</v>
      </c>
      <c r="I9" s="104"/>
      <c r="J9" s="104"/>
      <c r="K9" s="104"/>
      <c r="L9" s="104"/>
      <c r="M9" s="104"/>
      <c r="N9" s="104"/>
      <c r="O9" s="104"/>
      <c r="P9" s="104"/>
      <c r="Q9" s="38">
        <f>ROUND(H9*P6,2)</f>
        <v>297070.41</v>
      </c>
      <c r="R9" s="38">
        <f>ROUND(H9*O6,2)</f>
        <v>4541148.89</v>
      </c>
    </row>
    <row r="10" spans="1:18" ht="15">
      <c r="A10" s="30"/>
      <c r="B10" s="109"/>
      <c r="C10" s="18"/>
      <c r="D10" s="75" t="s">
        <v>485</v>
      </c>
      <c r="E10" s="146"/>
      <c r="F10" s="18"/>
      <c r="G10" s="109"/>
      <c r="H10" s="42"/>
      <c r="I10" s="104"/>
      <c r="J10" s="104"/>
      <c r="K10" s="104"/>
      <c r="L10" s="104"/>
      <c r="M10" s="104"/>
      <c r="N10" s="104"/>
      <c r="O10" s="104"/>
      <c r="P10" s="104"/>
      <c r="Q10" s="66">
        <f>ROUND(SUMIF(C6:C9,"&gt;0",Q6:Q9),0)</f>
        <v>4744691</v>
      </c>
      <c r="R10" s="66">
        <f>ROUND(SUMIF(C6:C9,"&gt;0",R6:R9),0)</f>
        <v>72529437</v>
      </c>
    </row>
    <row r="11" spans="1:18" ht="15">
      <c r="A11" s="30"/>
      <c r="B11" s="109"/>
      <c r="C11" s="18"/>
      <c r="D11" s="75" t="s">
        <v>192</v>
      </c>
      <c r="E11" s="146"/>
      <c r="F11" s="18"/>
      <c r="G11" s="109"/>
      <c r="H11" s="42"/>
      <c r="I11" s="104"/>
      <c r="J11" s="104"/>
      <c r="K11" s="104"/>
      <c r="L11" s="104"/>
      <c r="M11" s="104"/>
      <c r="N11" s="104"/>
      <c r="O11" s="104"/>
      <c r="P11" s="104"/>
      <c r="Q11" s="104"/>
      <c r="R11" s="104"/>
    </row>
    <row r="12" spans="1:18" ht="30">
      <c r="A12" s="30">
        <v>1</v>
      </c>
      <c r="B12" s="153" t="s">
        <v>421</v>
      </c>
      <c r="C12" s="18">
        <v>2</v>
      </c>
      <c r="D12" s="109" t="s">
        <v>22</v>
      </c>
      <c r="E12" s="146" t="s">
        <v>380</v>
      </c>
      <c r="F12" s="18"/>
      <c r="G12" s="109"/>
      <c r="H12" s="42">
        <f>SUM(H13:H14)</f>
        <v>37.936600000000006</v>
      </c>
      <c r="I12" s="104">
        <v>1767988</v>
      </c>
      <c r="J12" s="104"/>
      <c r="K12" s="104">
        <v>1767988</v>
      </c>
      <c r="L12" s="104">
        <f>'Máy thi công'!M6</f>
        <v>0</v>
      </c>
      <c r="M12" s="104"/>
      <c r="N12" s="104"/>
      <c r="O12" s="38">
        <f>'Máy thi công'!N6</f>
        <v>2117804</v>
      </c>
      <c r="P12" s="104">
        <f>O12-I12</f>
        <v>349816</v>
      </c>
      <c r="Q12" s="104">
        <f>ROUND(H12*P12,0)</f>
        <v>13270830</v>
      </c>
      <c r="R12" s="104">
        <f>ROUND(H12*O12,0)</f>
        <v>80342283</v>
      </c>
    </row>
    <row r="13" spans="1:18" ht="30" hidden="1">
      <c r="A13" s="30"/>
      <c r="B13" s="47" t="str">
        <f>'Công trình'!C7</f>
        <v>AB.31123</v>
      </c>
      <c r="C13" s="18"/>
      <c r="D13" s="47" t="str">
        <f>'Công trình'!D7</f>
        <v>Đào nền đường bằng máy đào 0,8m3 - Cấp đất III</v>
      </c>
      <c r="E13" s="146" t="str">
        <f>'Công trình'!E7</f>
        <v>100m3</v>
      </c>
      <c r="F13" s="99">
        <v>1</v>
      </c>
      <c r="G13" s="109"/>
      <c r="H13" s="121">
        <f>'Hao phí vật tư'!M12</f>
        <v>35.8462</v>
      </c>
      <c r="I13" s="104"/>
      <c r="J13" s="104"/>
      <c r="K13" s="104"/>
      <c r="L13" s="104"/>
      <c r="M13" s="104"/>
      <c r="N13" s="104"/>
      <c r="O13" s="104"/>
      <c r="P13" s="104"/>
      <c r="Q13" s="38">
        <f>ROUND(H13*P12,2)</f>
        <v>12539574.3</v>
      </c>
      <c r="R13" s="38">
        <f>ROUND(H13*O12,2)</f>
        <v>75915225.74</v>
      </c>
    </row>
    <row r="14" spans="1:18" ht="30" hidden="1">
      <c r="A14" s="30"/>
      <c r="B14" s="47" t="str">
        <f>'Công trình'!C9</f>
        <v>AB.27113</v>
      </c>
      <c r="C14" s="18"/>
      <c r="D14" s="47" t="str">
        <f>'Công trình'!D9</f>
        <v>Đào rãnh bằng máy thi công - Cấp đất III (95%KL)</v>
      </c>
      <c r="E14" s="146" t="str">
        <f>'Công trình'!E9</f>
        <v>100m3</v>
      </c>
      <c r="F14" s="99">
        <v>1</v>
      </c>
      <c r="G14" s="109"/>
      <c r="H14" s="121">
        <f>'Hao phí vật tư'!M17</f>
        <v>2.0904</v>
      </c>
      <c r="I14" s="104"/>
      <c r="J14" s="104"/>
      <c r="K14" s="104"/>
      <c r="L14" s="104"/>
      <c r="M14" s="104"/>
      <c r="N14" s="104"/>
      <c r="O14" s="104"/>
      <c r="P14" s="104"/>
      <c r="Q14" s="38">
        <f>ROUND(H14*P12,2)</f>
        <v>731255.37</v>
      </c>
      <c r="R14" s="38">
        <f>ROUND(H14*O12,2)</f>
        <v>4427057.48</v>
      </c>
    </row>
    <row r="15" spans="1:18" ht="15">
      <c r="A15" s="30">
        <v>2</v>
      </c>
      <c r="B15" s="153" t="s">
        <v>153</v>
      </c>
      <c r="C15" s="18">
        <v>3</v>
      </c>
      <c r="D15" s="109" t="s">
        <v>312</v>
      </c>
      <c r="E15" s="146" t="s">
        <v>380</v>
      </c>
      <c r="F15" s="18"/>
      <c r="G15" s="109"/>
      <c r="H15" s="42">
        <f>SUM(H16:H16)</f>
        <v>4.6616</v>
      </c>
      <c r="I15" s="104">
        <v>1412545</v>
      </c>
      <c r="J15" s="104"/>
      <c r="K15" s="104">
        <v>1412545</v>
      </c>
      <c r="L15" s="104">
        <f>'Máy thi công'!M9</f>
        <v>0</v>
      </c>
      <c r="M15" s="104"/>
      <c r="N15" s="104"/>
      <c r="O15" s="38">
        <f>'Máy thi công'!N9</f>
        <v>1664867</v>
      </c>
      <c r="P15" s="104">
        <f>O15-I15</f>
        <v>252322</v>
      </c>
      <c r="Q15" s="104">
        <f>ROUND(H15*P15,0)</f>
        <v>1176224</v>
      </c>
      <c r="R15" s="104">
        <f>ROUND(H15*O15,0)</f>
        <v>7760944</v>
      </c>
    </row>
    <row r="16" spans="1:18" ht="30" hidden="1">
      <c r="A16" s="30"/>
      <c r="B16" s="47" t="str">
        <f>'Công trình'!C7</f>
        <v>AB.31123</v>
      </c>
      <c r="C16" s="18"/>
      <c r="D16" s="47" t="str">
        <f>'Công trình'!D7</f>
        <v>Đào nền đường bằng máy đào 0,8m3 - Cấp đất III</v>
      </c>
      <c r="E16" s="146" t="str">
        <f>'Công trình'!E7</f>
        <v>100m3</v>
      </c>
      <c r="F16" s="99">
        <v>1</v>
      </c>
      <c r="G16" s="109"/>
      <c r="H16" s="121">
        <f>'Hao phí vật tư'!M11</f>
        <v>4.6616</v>
      </c>
      <c r="I16" s="104"/>
      <c r="J16" s="104"/>
      <c r="K16" s="104"/>
      <c r="L16" s="104"/>
      <c r="M16" s="104"/>
      <c r="N16" s="104"/>
      <c r="O16" s="104"/>
      <c r="P16" s="104"/>
      <c r="Q16" s="38">
        <f>ROUND(H16*P15,2)</f>
        <v>1176224.24</v>
      </c>
      <c r="R16" s="38">
        <f>ROUND(H16*O15,2)</f>
        <v>7760944.01</v>
      </c>
    </row>
    <row r="17" spans="1:18" ht="15">
      <c r="A17" s="100"/>
      <c r="B17" s="40"/>
      <c r="C17" s="93"/>
      <c r="D17" s="148" t="s">
        <v>484</v>
      </c>
      <c r="E17" s="69"/>
      <c r="F17" s="93"/>
      <c r="G17" s="40"/>
      <c r="H17" s="110"/>
      <c r="I17" s="33"/>
      <c r="J17" s="33"/>
      <c r="K17" s="33"/>
      <c r="L17" s="33"/>
      <c r="M17" s="33"/>
      <c r="N17" s="33"/>
      <c r="O17" s="33"/>
      <c r="P17" s="33"/>
      <c r="Q17" s="138">
        <f>ROUND(SUMIF(C12:C16,"&gt;0",Q12:Q16),0)</f>
        <v>14447054</v>
      </c>
      <c r="R17" s="138">
        <f>ROUND(SUMIF(C12:C16,"&gt;0",R12:R16),0)</f>
        <v>88103227</v>
      </c>
    </row>
    <row r="18" spans="1:18" ht="16.5" customHeight="1">
      <c r="A18" s="74"/>
      <c r="B18" s="43"/>
      <c r="C18" s="97"/>
      <c r="D18" s="43"/>
      <c r="E18" s="74"/>
      <c r="F18" s="97"/>
      <c r="G18" s="43"/>
      <c r="H18" s="97"/>
      <c r="I18" s="97"/>
      <c r="J18" s="97"/>
      <c r="K18" s="97"/>
      <c r="L18" s="97"/>
      <c r="M18" s="97"/>
      <c r="N18" s="97"/>
      <c r="O18" s="97"/>
      <c r="P18" s="97"/>
      <c r="Q18" s="97"/>
      <c r="R18" s="97"/>
    </row>
  </sheetData>
  <sheetProtection/>
  <mergeCells count="2">
    <mergeCell ref="A1:R1"/>
    <mergeCell ref="A2:R2"/>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2.xml><?xml version="1.0" encoding="utf-8"?>
<worksheet xmlns="http://schemas.openxmlformats.org/spreadsheetml/2006/main" xmlns:r="http://schemas.openxmlformats.org/officeDocument/2006/relationships">
  <dimension ref="A1:J25"/>
  <sheetViews>
    <sheetView showZeros="0" zoomScalePageLayoutView="0" workbookViewId="0" topLeftCell="A1">
      <selection activeCell="A1" sqref="A1:J1"/>
    </sheetView>
  </sheetViews>
  <sheetFormatPr defaultColWidth="9.140625" defaultRowHeight="15"/>
  <cols>
    <col min="1" max="1" width="6.57421875" style="125" customWidth="1"/>
    <col min="2" max="2" width="11.57421875" style="125" customWidth="1"/>
    <col min="3" max="3" width="11.140625" style="125" hidden="1" customWidth="1"/>
    <col min="4" max="4" width="12.421875" style="125" customWidth="1"/>
    <col min="5" max="5" width="46.28125" style="125" customWidth="1"/>
    <col min="6" max="6" width="8.57421875" style="125" customWidth="1"/>
    <col min="7" max="7" width="12.8515625" style="125" customWidth="1"/>
    <col min="8" max="8" width="13.8515625" style="125" customWidth="1"/>
    <col min="9" max="9" width="7.57421875" style="125" customWidth="1"/>
    <col min="10" max="10" width="14.57421875" style="125" customWidth="1"/>
    <col min="11" max="16384" width="9.140625" style="125" customWidth="1"/>
  </cols>
  <sheetData>
    <row r="1" spans="1:10" ht="22.5" customHeight="1">
      <c r="A1" s="241" t="s">
        <v>266</v>
      </c>
      <c r="B1" s="241"/>
      <c r="C1" s="241"/>
      <c r="D1" s="241"/>
      <c r="E1" s="241"/>
      <c r="F1" s="241"/>
      <c r="G1" s="241"/>
      <c r="H1" s="241"/>
      <c r="I1" s="241"/>
      <c r="J1" s="241"/>
    </row>
    <row r="2" spans="1:10" ht="19.5" customHeight="1">
      <c r="A2" s="234" t="str">
        <f>'Công trình'!$A$3</f>
        <v>CÔNG TRÌNH: ĐƯỜNG LÂM SINH XÃ HIỀN CHUNG, NAM ĐỘNG, PHÚ XUÂN, HUYỆN QUAN HÓA, TỈNH THANH HÓA</v>
      </c>
      <c r="B2" s="234"/>
      <c r="C2" s="234"/>
      <c r="D2" s="234"/>
      <c r="E2" s="234"/>
      <c r="F2" s="234"/>
      <c r="G2" s="234"/>
      <c r="H2" s="234"/>
      <c r="I2" s="234"/>
      <c r="J2" s="234"/>
    </row>
    <row r="3" spans="1:10" ht="18" customHeight="1">
      <c r="A3" s="240" t="str">
        <f>'Công trình'!$A$4</f>
        <v>HẠNG MỤC: XÃ HIỀN CHUNG</v>
      </c>
      <c r="B3" s="240"/>
      <c r="C3" s="240"/>
      <c r="D3" s="240"/>
      <c r="E3" s="240"/>
      <c r="F3" s="240"/>
      <c r="G3" s="240"/>
      <c r="H3" s="240"/>
      <c r="I3" s="240"/>
      <c r="J3" s="240"/>
    </row>
    <row r="4" spans="1:10" ht="17.25" customHeight="1">
      <c r="A4" s="74"/>
      <c r="B4" s="43"/>
      <c r="C4" s="97"/>
      <c r="D4" s="43"/>
      <c r="E4" s="43"/>
      <c r="F4" s="74"/>
      <c r="G4" s="97"/>
      <c r="H4" s="97"/>
      <c r="I4" s="97"/>
      <c r="J4" s="97"/>
    </row>
    <row r="5" spans="1:10" ht="31.5" customHeight="1">
      <c r="A5" s="7" t="s">
        <v>279</v>
      </c>
      <c r="B5" s="51" t="s">
        <v>36</v>
      </c>
      <c r="C5" s="7" t="s">
        <v>389</v>
      </c>
      <c r="D5" s="7" t="s">
        <v>179</v>
      </c>
      <c r="E5" s="7" t="s">
        <v>231</v>
      </c>
      <c r="F5" s="7" t="s">
        <v>486</v>
      </c>
      <c r="G5" s="7" t="s">
        <v>376</v>
      </c>
      <c r="H5" s="92" t="s">
        <v>111</v>
      </c>
      <c r="I5" s="152" t="s">
        <v>247</v>
      </c>
      <c r="J5" s="92" t="s">
        <v>313</v>
      </c>
    </row>
    <row r="6" spans="1:10" ht="28.5">
      <c r="A6" s="119">
        <f>'Công trình'!$A$7</f>
        <v>1</v>
      </c>
      <c r="B6" s="126" t="str">
        <f>'Công trình'!$C$7</f>
        <v>AB.31123</v>
      </c>
      <c r="C6" s="151"/>
      <c r="D6" s="90"/>
      <c r="E6" s="126" t="str">
        <f>'Công trình'!$D$7</f>
        <v>Đào nền đường bằng máy đào 0,8m3 - Cấp đất III</v>
      </c>
      <c r="F6" s="2" t="str">
        <f>'Công trình'!$E$7</f>
        <v>100m3</v>
      </c>
      <c r="G6" s="151"/>
      <c r="H6" s="86"/>
      <c r="I6" s="136"/>
      <c r="J6" s="86"/>
    </row>
    <row r="7" spans="1:10" ht="15">
      <c r="A7" s="145"/>
      <c r="B7" s="112"/>
      <c r="C7" s="21"/>
      <c r="D7" s="112"/>
      <c r="E7" s="112" t="s">
        <v>59</v>
      </c>
      <c r="F7" s="145"/>
      <c r="G7" s="21"/>
      <c r="H7" s="102"/>
      <c r="I7" s="11"/>
      <c r="J7" s="102">
        <f>ROUND(J9,0)</f>
        <v>806272</v>
      </c>
    </row>
    <row r="8" spans="1:10" ht="15">
      <c r="A8" s="146"/>
      <c r="B8" s="109"/>
      <c r="C8" s="18">
        <v>1</v>
      </c>
      <c r="D8" s="109" t="str">
        <f>'Nhân công'!$B$6</f>
        <v>N0006</v>
      </c>
      <c r="E8" s="109" t="s">
        <v>330</v>
      </c>
      <c r="F8" s="146" t="str">
        <f>'Nhân công'!$H$6</f>
        <v>công</v>
      </c>
      <c r="G8" s="18">
        <f>'Hao phí vật tư'!$H$9*'Hao phí vật tư'!$J$9</f>
        <v>4.12</v>
      </c>
      <c r="H8" s="106">
        <f>'Nhân công'!$N$6</f>
        <v>195697</v>
      </c>
      <c r="I8" s="6">
        <v>1</v>
      </c>
      <c r="J8" s="104">
        <f>ROUND(G8*H8*I8,0)</f>
        <v>806272</v>
      </c>
    </row>
    <row r="9" spans="1:10" ht="15">
      <c r="A9" s="146"/>
      <c r="B9" s="109"/>
      <c r="C9" s="18"/>
      <c r="D9" s="109"/>
      <c r="E9" s="109" t="s">
        <v>401</v>
      </c>
      <c r="F9" s="146"/>
      <c r="G9" s="18"/>
      <c r="H9" s="104"/>
      <c r="I9" s="6">
        <f>'Hệ số'!$C$3</f>
        <v>1</v>
      </c>
      <c r="J9" s="104">
        <f>ROUND((SUM(J8:J8))*'Hệ số'!C3,0)</f>
        <v>806272</v>
      </c>
    </row>
    <row r="10" spans="1:10" ht="15">
      <c r="A10" s="145"/>
      <c r="B10" s="112"/>
      <c r="C10" s="21"/>
      <c r="D10" s="112"/>
      <c r="E10" s="112" t="s">
        <v>192</v>
      </c>
      <c r="F10" s="145"/>
      <c r="G10" s="21"/>
      <c r="H10" s="102"/>
      <c r="I10" s="11"/>
      <c r="J10" s="102">
        <f>ROUND(J13,0)</f>
        <v>1041103</v>
      </c>
    </row>
    <row r="11" spans="1:10" ht="15">
      <c r="A11" s="146"/>
      <c r="B11" s="109"/>
      <c r="C11" s="18">
        <v>3</v>
      </c>
      <c r="D11" s="109" t="str">
        <f>'Máy thi công'!$B$9</f>
        <v>M101.0502</v>
      </c>
      <c r="E11" s="109" t="str">
        <f>" - "&amp;'Máy thi công'!$D$9</f>
        <v> - Máy ủi - công suất: 110 CV</v>
      </c>
      <c r="F11" s="146" t="str">
        <f>'Máy thi công'!$E$9</f>
        <v>ca</v>
      </c>
      <c r="G11" s="18">
        <f>'Hao phí vật tư'!$I$11*'Hao phí vật tư'!$J$11</f>
        <v>0.058</v>
      </c>
      <c r="H11" s="106">
        <f>'Máy thi công'!$N$9</f>
        <v>1664867</v>
      </c>
      <c r="I11" s="6">
        <v>1</v>
      </c>
      <c r="J11" s="104">
        <f>ROUND(G11*H11*I11,0)</f>
        <v>96562</v>
      </c>
    </row>
    <row r="12" spans="1:10" ht="30">
      <c r="A12" s="146"/>
      <c r="B12" s="109"/>
      <c r="C12" s="18">
        <v>2</v>
      </c>
      <c r="D12" s="109" t="str">
        <f>'Máy thi công'!$B$6</f>
        <v>M101.0104</v>
      </c>
      <c r="E12" s="109" t="str">
        <f>" - "&amp;'Máy thi công'!$D$6</f>
        <v> - Máy đào một gầu, bánh xích -  dung tích gầu: 0,80 m3</v>
      </c>
      <c r="F12" s="146" t="str">
        <f>'Máy thi công'!$E$6</f>
        <v>ca</v>
      </c>
      <c r="G12" s="18">
        <f>'Hao phí vật tư'!$I$12*'Hao phí vật tư'!$J$12</f>
        <v>0.446</v>
      </c>
      <c r="H12" s="106">
        <f>'Máy thi công'!$N$6</f>
        <v>2117804</v>
      </c>
      <c r="I12" s="6">
        <v>1</v>
      </c>
      <c r="J12" s="104">
        <f>ROUND(G12*H12*I12,0)</f>
        <v>944541</v>
      </c>
    </row>
    <row r="13" spans="1:10" ht="15">
      <c r="A13" s="146"/>
      <c r="B13" s="109"/>
      <c r="C13" s="18"/>
      <c r="D13" s="109"/>
      <c r="E13" s="109" t="s">
        <v>46</v>
      </c>
      <c r="F13" s="146"/>
      <c r="G13" s="18"/>
      <c r="H13" s="104"/>
      <c r="I13" s="6">
        <f>'Hệ số'!$C$2</f>
        <v>1</v>
      </c>
      <c r="J13" s="104">
        <f>ROUND((SUM(J11:J12))*'Hệ số'!C2,0)</f>
        <v>1041103</v>
      </c>
    </row>
    <row r="14" spans="1:10" ht="28.5">
      <c r="A14" s="119">
        <f>'Công trình'!$A$9</f>
        <v>2</v>
      </c>
      <c r="B14" s="126" t="str">
        <f>'Công trình'!$C$9</f>
        <v>AB.27113</v>
      </c>
      <c r="C14" s="151"/>
      <c r="D14" s="90"/>
      <c r="E14" s="126" t="str">
        <f>'Công trình'!$D$9</f>
        <v>Đào rãnh bằng máy thi công - Cấp đất III (95%KL)</v>
      </c>
      <c r="F14" s="2" t="str">
        <f>'Công trình'!$E$9</f>
        <v>100m3</v>
      </c>
      <c r="G14" s="151"/>
      <c r="H14" s="86"/>
      <c r="I14" s="136"/>
      <c r="J14" s="86"/>
    </row>
    <row r="15" spans="1:10" ht="15">
      <c r="A15" s="145"/>
      <c r="B15" s="112"/>
      <c r="C15" s="21"/>
      <c r="D15" s="112"/>
      <c r="E15" s="112" t="s">
        <v>59</v>
      </c>
      <c r="F15" s="145"/>
      <c r="G15" s="21"/>
      <c r="H15" s="102"/>
      <c r="I15" s="11"/>
      <c r="J15" s="102">
        <f>ROUND(J17,0)</f>
        <v>1164397</v>
      </c>
    </row>
    <row r="16" spans="1:10" ht="15">
      <c r="A16" s="146"/>
      <c r="B16" s="109"/>
      <c r="C16" s="18">
        <v>1</v>
      </c>
      <c r="D16" s="109" t="str">
        <f>'Nhân công'!$B$6</f>
        <v>N0006</v>
      </c>
      <c r="E16" s="109" t="s">
        <v>330</v>
      </c>
      <c r="F16" s="146" t="str">
        <f>'Nhân công'!$H$6</f>
        <v>công</v>
      </c>
      <c r="G16" s="18">
        <f>'Hao phí vật tư'!$H$15*'Hao phí vật tư'!$J$15</f>
        <v>5.95</v>
      </c>
      <c r="H16" s="106">
        <f>'Nhân công'!$N$6</f>
        <v>195697</v>
      </c>
      <c r="I16" s="6">
        <v>1</v>
      </c>
      <c r="J16" s="104">
        <f>ROUND(G16*H16*I16,0)</f>
        <v>1164397</v>
      </c>
    </row>
    <row r="17" spans="1:10" ht="15">
      <c r="A17" s="146"/>
      <c r="B17" s="109"/>
      <c r="C17" s="18"/>
      <c r="D17" s="109"/>
      <c r="E17" s="109" t="s">
        <v>401</v>
      </c>
      <c r="F17" s="146"/>
      <c r="G17" s="18"/>
      <c r="H17" s="104"/>
      <c r="I17" s="6">
        <f>'Hệ số'!$C$3</f>
        <v>1</v>
      </c>
      <c r="J17" s="104">
        <f>ROUND((SUM(J16:J16))*'Hệ số'!C3,0)</f>
        <v>1164397</v>
      </c>
    </row>
    <row r="18" spans="1:10" ht="15">
      <c r="A18" s="145"/>
      <c r="B18" s="112"/>
      <c r="C18" s="21"/>
      <c r="D18" s="112"/>
      <c r="E18" s="112" t="s">
        <v>192</v>
      </c>
      <c r="F18" s="145"/>
      <c r="G18" s="21"/>
      <c r="H18" s="102"/>
      <c r="I18" s="11"/>
      <c r="J18" s="102">
        <f>ROUND(J20,0)</f>
        <v>1135143</v>
      </c>
    </row>
    <row r="19" spans="1:10" ht="30">
      <c r="A19" s="146"/>
      <c r="B19" s="109"/>
      <c r="C19" s="18">
        <v>2</v>
      </c>
      <c r="D19" s="109" t="str">
        <f>'Máy thi công'!$B$6</f>
        <v>M101.0104</v>
      </c>
      <c r="E19" s="109" t="str">
        <f>" - "&amp;'Máy thi công'!$D$6</f>
        <v> - Máy đào một gầu, bánh xích -  dung tích gầu: 0,80 m3</v>
      </c>
      <c r="F19" s="146" t="str">
        <f>'Máy thi công'!$E$6</f>
        <v>ca</v>
      </c>
      <c r="G19" s="18">
        <f>'Hao phí vật tư'!$I$17*'Hao phí vật tư'!$J$17</f>
        <v>0.536</v>
      </c>
      <c r="H19" s="106">
        <f>'Máy thi công'!$N$6</f>
        <v>2117804</v>
      </c>
      <c r="I19" s="6">
        <v>1</v>
      </c>
      <c r="J19" s="104">
        <f>ROUND(G19*H19*I19,0)</f>
        <v>1135143</v>
      </c>
    </row>
    <row r="20" spans="1:10" ht="15">
      <c r="A20" s="146"/>
      <c r="B20" s="109"/>
      <c r="C20" s="18"/>
      <c r="D20" s="109"/>
      <c r="E20" s="109" t="s">
        <v>46</v>
      </c>
      <c r="F20" s="146"/>
      <c r="G20" s="18"/>
      <c r="H20" s="104"/>
      <c r="I20" s="6">
        <f>'Hệ số'!$C$2</f>
        <v>1</v>
      </c>
      <c r="J20" s="104">
        <f>ROUND((SUM(J19:J19))*'Hệ số'!C2,0)</f>
        <v>1135143</v>
      </c>
    </row>
    <row r="21" spans="1:10" ht="15">
      <c r="A21" s="119">
        <f>'Công trình'!$A$11</f>
        <v>3</v>
      </c>
      <c r="B21" s="126" t="str">
        <f>'Công trình'!$C$11</f>
        <v>AB.11513</v>
      </c>
      <c r="C21" s="151"/>
      <c r="D21" s="90"/>
      <c r="E21" s="126" t="str">
        <f>'Công trình'!$D$11</f>
        <v>Đào rãnh đất bằng thủ công (3%KL) cấp III</v>
      </c>
      <c r="F21" s="2" t="str">
        <f>'Công trình'!$E$11</f>
        <v>m3</v>
      </c>
      <c r="G21" s="151"/>
      <c r="H21" s="86"/>
      <c r="I21" s="136"/>
      <c r="J21" s="86"/>
    </row>
    <row r="22" spans="1:10" ht="15">
      <c r="A22" s="145"/>
      <c r="B22" s="112"/>
      <c r="C22" s="21"/>
      <c r="D22" s="112"/>
      <c r="E22" s="112" t="s">
        <v>59</v>
      </c>
      <c r="F22" s="145"/>
      <c r="G22" s="21"/>
      <c r="H22" s="102"/>
      <c r="I22" s="11"/>
      <c r="J22" s="102">
        <f>ROUND(J24,0)</f>
        <v>264191</v>
      </c>
    </row>
    <row r="23" spans="1:10" ht="15">
      <c r="A23" s="146"/>
      <c r="B23" s="109"/>
      <c r="C23" s="18">
        <v>1</v>
      </c>
      <c r="D23" s="109" t="str">
        <f>'Nhân công'!$B$6</f>
        <v>N0006</v>
      </c>
      <c r="E23" s="109" t="s">
        <v>330</v>
      </c>
      <c r="F23" s="146" t="str">
        <f>'Nhân công'!$H$6</f>
        <v>công</v>
      </c>
      <c r="G23" s="18">
        <f>'Hao phí vật tư'!$H$20*'Hao phí vật tư'!$J$20</f>
        <v>1.35</v>
      </c>
      <c r="H23" s="106">
        <f>'Nhân công'!$N$6</f>
        <v>195697</v>
      </c>
      <c r="I23" s="6">
        <v>1</v>
      </c>
      <c r="J23" s="104">
        <f>ROUND(G23*H23*I23,0)</f>
        <v>264191</v>
      </c>
    </row>
    <row r="24" spans="1:10" ht="15">
      <c r="A24" s="69"/>
      <c r="B24" s="40"/>
      <c r="C24" s="93"/>
      <c r="D24" s="40"/>
      <c r="E24" s="40" t="s">
        <v>401</v>
      </c>
      <c r="F24" s="69"/>
      <c r="G24" s="93"/>
      <c r="H24" s="33"/>
      <c r="I24" s="87">
        <f>'Hệ số'!$C$3</f>
        <v>1</v>
      </c>
      <c r="J24" s="33">
        <f>ROUND((SUM(J23:J23))*'Hệ số'!C3,0)</f>
        <v>264191</v>
      </c>
    </row>
    <row r="25" spans="1:10" ht="17.25" customHeight="1">
      <c r="A25" s="74"/>
      <c r="B25" s="43"/>
      <c r="C25" s="97"/>
      <c r="D25" s="43"/>
      <c r="E25" s="43"/>
      <c r="F25" s="74"/>
      <c r="G25" s="97"/>
      <c r="H25" s="97"/>
      <c r="I25" s="97"/>
      <c r="J25" s="97"/>
    </row>
  </sheetData>
  <sheetProtection/>
  <mergeCells count="3">
    <mergeCell ref="A1:J1"/>
    <mergeCell ref="A2:J2"/>
    <mergeCell ref="A3:J3"/>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3.xml><?xml version="1.0" encoding="utf-8"?>
<worksheet xmlns="http://schemas.openxmlformats.org/spreadsheetml/2006/main" xmlns:r="http://schemas.openxmlformats.org/officeDocument/2006/relationships">
  <dimension ref="A1:O22"/>
  <sheetViews>
    <sheetView showZeros="0" zoomScalePageLayoutView="0" workbookViewId="0" topLeftCell="A1">
      <selection activeCell="A1" sqref="A1:O1"/>
    </sheetView>
  </sheetViews>
  <sheetFormatPr defaultColWidth="9.140625" defaultRowHeight="15"/>
  <cols>
    <col min="1" max="1" width="6.57421875" style="125" customWidth="1"/>
    <col min="2" max="2" width="10.57421875" style="125" customWidth="1"/>
    <col min="3" max="3" width="7.28125" style="125" hidden="1" customWidth="1"/>
    <col min="4" max="4" width="44.7109375" style="125" customWidth="1"/>
    <col min="5" max="5" width="8.57421875" style="125" customWidth="1"/>
    <col min="6" max="7" width="12.8515625" style="125" customWidth="1"/>
    <col min="8" max="8" width="13.140625" style="125" hidden="1" customWidth="1"/>
    <col min="9" max="9" width="12.57421875" style="125" customWidth="1"/>
    <col min="10" max="10" width="14.140625" style="125" customWidth="1"/>
    <col min="11" max="11" width="12.8515625" style="125" customWidth="1"/>
    <col min="12" max="12" width="13.7109375" style="125" hidden="1" customWidth="1"/>
    <col min="13" max="13" width="12.8515625" style="125" customWidth="1"/>
    <col min="14" max="14" width="14.140625" style="125" customWidth="1"/>
    <col min="15" max="15" width="16.7109375" style="125" customWidth="1"/>
    <col min="16" max="16384" width="9.140625" style="125" customWidth="1"/>
  </cols>
  <sheetData>
    <row r="1" spans="1:15" ht="22.5" customHeight="1">
      <c r="A1" s="241" t="s">
        <v>9</v>
      </c>
      <c r="B1" s="241"/>
      <c r="C1" s="241"/>
      <c r="D1" s="241"/>
      <c r="E1" s="241"/>
      <c r="F1" s="241"/>
      <c r="G1" s="241"/>
      <c r="H1" s="241"/>
      <c r="I1" s="241"/>
      <c r="J1" s="241"/>
      <c r="K1" s="241"/>
      <c r="L1" s="241"/>
      <c r="M1" s="241"/>
      <c r="N1" s="241"/>
      <c r="O1" s="241"/>
    </row>
    <row r="2" spans="1:15" ht="19.5" customHeight="1">
      <c r="A2" s="234" t="str">
        <f>'Công trình'!A3</f>
        <v>CÔNG TRÌNH: ĐƯỜNG LÂM SINH XÃ HIỀN CHUNG, NAM ĐỘNG, PHÚ XUÂN, HUYỆN QUAN HÓA, TỈNH THANH HÓA</v>
      </c>
      <c r="B2" s="234"/>
      <c r="C2" s="234"/>
      <c r="D2" s="234"/>
      <c r="E2" s="234"/>
      <c r="F2" s="234"/>
      <c r="G2" s="234"/>
      <c r="H2" s="234"/>
      <c r="I2" s="234"/>
      <c r="J2" s="234"/>
      <c r="K2" s="234"/>
      <c r="L2" s="234"/>
      <c r="M2" s="234"/>
      <c r="N2" s="234"/>
      <c r="O2" s="234"/>
    </row>
    <row r="3" spans="1:15" ht="18" customHeight="1">
      <c r="A3" s="240" t="str">
        <f>'Công trình'!A4</f>
        <v>HẠNG MỤC: XÃ HIỀN CHUNG</v>
      </c>
      <c r="B3" s="240"/>
      <c r="C3" s="240"/>
      <c r="D3" s="240"/>
      <c r="E3" s="240"/>
      <c r="F3" s="240"/>
      <c r="G3" s="240"/>
      <c r="H3" s="240"/>
      <c r="I3" s="240"/>
      <c r="J3" s="240"/>
      <c r="K3" s="240"/>
      <c r="L3" s="240"/>
      <c r="M3" s="240"/>
      <c r="N3" s="240"/>
      <c r="O3" s="240"/>
    </row>
    <row r="4" spans="1:15" ht="16.5" customHeight="1">
      <c r="A4" s="74"/>
      <c r="B4" s="43"/>
      <c r="C4" s="43"/>
      <c r="D4" s="43"/>
      <c r="E4" s="74"/>
      <c r="F4" s="97"/>
      <c r="G4" s="97"/>
      <c r="H4" s="97"/>
      <c r="I4" s="97"/>
      <c r="J4" s="97"/>
      <c r="K4" s="97"/>
      <c r="L4" s="97"/>
      <c r="M4" s="97"/>
      <c r="N4" s="97"/>
      <c r="O4" s="97"/>
    </row>
    <row r="5" spans="1:15" ht="18.75" customHeight="1">
      <c r="A5" s="254" t="s">
        <v>279</v>
      </c>
      <c r="B5" s="255" t="s">
        <v>285</v>
      </c>
      <c r="C5" s="248" t="s">
        <v>493</v>
      </c>
      <c r="D5" s="248" t="s">
        <v>231</v>
      </c>
      <c r="E5" s="248" t="s">
        <v>486</v>
      </c>
      <c r="F5" s="253" t="s">
        <v>73</v>
      </c>
      <c r="G5" s="257" t="s">
        <v>111</v>
      </c>
      <c r="H5" s="257"/>
      <c r="I5" s="257"/>
      <c r="J5" s="257"/>
      <c r="K5" s="257" t="s">
        <v>313</v>
      </c>
      <c r="L5" s="257"/>
      <c r="M5" s="257"/>
      <c r="N5" s="257"/>
      <c r="O5" s="257" t="s">
        <v>19</v>
      </c>
    </row>
    <row r="6" spans="1:15" ht="18" customHeight="1">
      <c r="A6" s="254"/>
      <c r="B6" s="255"/>
      <c r="C6" s="248"/>
      <c r="D6" s="248"/>
      <c r="E6" s="248"/>
      <c r="F6" s="253"/>
      <c r="G6" s="92" t="s">
        <v>125</v>
      </c>
      <c r="H6" s="92" t="s">
        <v>60</v>
      </c>
      <c r="I6" s="92" t="s">
        <v>59</v>
      </c>
      <c r="J6" s="92" t="s">
        <v>192</v>
      </c>
      <c r="K6" s="92" t="s">
        <v>125</v>
      </c>
      <c r="L6" s="92" t="s">
        <v>60</v>
      </c>
      <c r="M6" s="92" t="s">
        <v>59</v>
      </c>
      <c r="N6" s="92" t="s">
        <v>192</v>
      </c>
      <c r="O6" s="257"/>
    </row>
    <row r="7" spans="1:15" ht="15">
      <c r="A7" s="1">
        <f>'Công trình'!A7</f>
        <v>1</v>
      </c>
      <c r="B7" s="90" t="str">
        <f>'Công trình'!C7</f>
        <v>AB.31123</v>
      </c>
      <c r="C7" s="118"/>
      <c r="D7" s="90" t="str">
        <f>'Công trình'!D7</f>
        <v>Đào nền đường bằng máy đào 0,8m3 - Cấp đất III</v>
      </c>
      <c r="E7" s="119" t="str">
        <f>'Công trình'!E7</f>
        <v>100m3</v>
      </c>
      <c r="F7" s="13">
        <f>'Công trình'!L7</f>
        <v>80.3726</v>
      </c>
      <c r="G7" s="86">
        <v>0</v>
      </c>
      <c r="H7" s="86">
        <v>0</v>
      </c>
      <c r="I7" s="86">
        <f>'Đơn giá chi tiết rút gọn'!J7</f>
        <v>806272</v>
      </c>
      <c r="J7" s="86">
        <f>'Đơn giá chi tiết rút gọn'!J10</f>
        <v>1041103</v>
      </c>
      <c r="K7" s="86">
        <f>ROUND(F7*G7,0)</f>
        <v>0</v>
      </c>
      <c r="L7" s="86">
        <f>ROUND(F7*H7,0)</f>
        <v>0</v>
      </c>
      <c r="M7" s="86">
        <f>ROUND(F7*I7,0)</f>
        <v>64802177</v>
      </c>
      <c r="N7" s="86">
        <f>ROUND(F7*J7,0)</f>
        <v>83676155</v>
      </c>
      <c r="O7" s="86">
        <f>SUM(K7:N7)</f>
        <v>148478332</v>
      </c>
    </row>
    <row r="8" spans="1:15" ht="30">
      <c r="A8" s="30">
        <f>'Công trình'!A9</f>
        <v>2</v>
      </c>
      <c r="B8" s="109" t="str">
        <f>'Công trình'!C9</f>
        <v>AB.27113</v>
      </c>
      <c r="C8" s="147"/>
      <c r="D8" s="109" t="str">
        <f>'Công trình'!D9</f>
        <v>Đào rãnh bằng máy thi công - Cấp đất III (95%KL)</v>
      </c>
      <c r="E8" s="146" t="str">
        <f>'Công trình'!E9</f>
        <v>100m3</v>
      </c>
      <c r="F8" s="42">
        <f>'Công trình'!L9</f>
        <v>3.9</v>
      </c>
      <c r="G8" s="104">
        <v>0</v>
      </c>
      <c r="H8" s="104">
        <v>0</v>
      </c>
      <c r="I8" s="104">
        <f>'Đơn giá chi tiết rút gọn'!J15</f>
        <v>1164397</v>
      </c>
      <c r="J8" s="104">
        <f>'Đơn giá chi tiết rút gọn'!J18</f>
        <v>1135143</v>
      </c>
      <c r="K8" s="104">
        <f>ROUND(F8*G8,0)</f>
        <v>0</v>
      </c>
      <c r="L8" s="104">
        <f>ROUND(F8*H8,0)</f>
        <v>0</v>
      </c>
      <c r="M8" s="104">
        <f>ROUND(F8*I8,0)</f>
        <v>4541148</v>
      </c>
      <c r="N8" s="104">
        <f>ROUND(F8*J8,0)</f>
        <v>4427058</v>
      </c>
      <c r="O8" s="104">
        <f>SUM(K8:N8)</f>
        <v>8968206</v>
      </c>
    </row>
    <row r="9" spans="1:15" ht="15">
      <c r="A9" s="100">
        <f>'Công trình'!A11</f>
        <v>3</v>
      </c>
      <c r="B9" s="40" t="str">
        <f>'Công trình'!C11</f>
        <v>AB.11513</v>
      </c>
      <c r="C9" s="70"/>
      <c r="D9" s="40" t="str">
        <f>'Công trình'!D11</f>
        <v>Đào rãnh đất bằng thủ công (3%KL) cấp III</v>
      </c>
      <c r="E9" s="69" t="str">
        <f>'Công trình'!E11</f>
        <v>m3</v>
      </c>
      <c r="F9" s="110">
        <f>'Công trình'!L11</f>
        <v>12.06</v>
      </c>
      <c r="G9" s="33">
        <v>0</v>
      </c>
      <c r="H9" s="33">
        <v>0</v>
      </c>
      <c r="I9" s="33">
        <f>'Đơn giá chi tiết rút gọn'!J22</f>
        <v>264191</v>
      </c>
      <c r="J9" s="33">
        <v>0</v>
      </c>
      <c r="K9" s="33">
        <f>ROUND(F9*G9,0)</f>
        <v>0</v>
      </c>
      <c r="L9" s="33">
        <f>ROUND(F9*H9,0)</f>
        <v>0</v>
      </c>
      <c r="M9" s="33">
        <f>ROUND(F9*I9,0)</f>
        <v>3186143</v>
      </c>
      <c r="N9" s="33">
        <f>ROUND(F9*J9,0)</f>
        <v>0</v>
      </c>
      <c r="O9" s="33">
        <f>SUM(K9:N9)</f>
        <v>3186143</v>
      </c>
    </row>
    <row r="10" spans="1:15" ht="18" customHeight="1">
      <c r="A10" s="91"/>
      <c r="B10" s="35"/>
      <c r="C10" s="63"/>
      <c r="D10" s="137" t="s">
        <v>19</v>
      </c>
      <c r="E10" s="64"/>
      <c r="F10" s="105"/>
      <c r="G10" s="19"/>
      <c r="H10" s="19"/>
      <c r="I10" s="19"/>
      <c r="J10" s="19"/>
      <c r="K10" s="128">
        <f>ROUND(SUMIF(C7:C9,"&lt;&gt;1",K7:K9),0)</f>
        <v>0</v>
      </c>
      <c r="L10" s="128">
        <f>ROUND(SUMIF(C7:C9,"&lt;&gt;1",L7:L9),0)</f>
        <v>0</v>
      </c>
      <c r="M10" s="128">
        <f>ROUND(SUMIF(C7:C9,"&lt;&gt;1",M7:M9),0)</f>
        <v>72529468</v>
      </c>
      <c r="N10" s="128">
        <f>ROUND(SUMIF(C7:C9,"&lt;&gt;1",N7:N9),0)</f>
        <v>88103213</v>
      </c>
      <c r="O10" s="128">
        <f>ROUND(SUMIF(C7:C9,"&lt;&gt;1",O7:O9),0)</f>
        <v>160632681</v>
      </c>
    </row>
    <row r="11" spans="1:15" ht="18" customHeight="1">
      <c r="A11" s="91"/>
      <c r="B11" s="35"/>
      <c r="C11" s="63"/>
      <c r="D11" s="137" t="s">
        <v>386</v>
      </c>
      <c r="E11" s="64"/>
      <c r="F11" s="105"/>
      <c r="G11" s="19"/>
      <c r="H11" s="19"/>
      <c r="I11" s="19"/>
      <c r="J11" s="19"/>
      <c r="K11" s="19"/>
      <c r="L11" s="19"/>
      <c r="M11" s="19"/>
      <c r="N11" s="19"/>
      <c r="O11" s="128">
        <f>ROUND(O10,-3)</f>
        <v>160633000</v>
      </c>
    </row>
    <row r="12" spans="1:15" ht="18.75" customHeight="1">
      <c r="A12" s="239" t="e">
        <f>TienBangChu(O11)</f>
        <v>#NAME?</v>
      </c>
      <c r="B12" s="239"/>
      <c r="C12" s="239"/>
      <c r="D12" s="239"/>
      <c r="E12" s="239"/>
      <c r="F12" s="239"/>
      <c r="G12" s="239"/>
      <c r="H12" s="239"/>
      <c r="I12" s="239"/>
      <c r="J12" s="239"/>
      <c r="K12" s="239"/>
      <c r="L12" s="239"/>
      <c r="M12" s="239"/>
      <c r="N12" s="239"/>
      <c r="O12" s="239"/>
    </row>
    <row r="13" spans="1:15" ht="18" customHeight="1">
      <c r="A13" s="74"/>
      <c r="B13" s="43"/>
      <c r="C13" s="43"/>
      <c r="D13" s="43"/>
      <c r="E13" s="74"/>
      <c r="F13" s="97"/>
      <c r="G13" s="238" t="s">
        <v>112</v>
      </c>
      <c r="H13" s="238"/>
      <c r="I13" s="238"/>
      <c r="J13" s="238"/>
      <c r="K13" s="97"/>
      <c r="L13" s="97"/>
      <c r="M13" s="97"/>
      <c r="N13" s="97"/>
      <c r="O13" s="97"/>
    </row>
    <row r="14" spans="1:15" ht="18" customHeight="1">
      <c r="A14" s="74"/>
      <c r="B14" s="74"/>
      <c r="C14" s="43"/>
      <c r="D14" s="43"/>
      <c r="E14" s="74"/>
      <c r="F14" s="97"/>
      <c r="G14" s="240" t="s">
        <v>460</v>
      </c>
      <c r="H14" s="240"/>
      <c r="I14" s="240"/>
      <c r="J14" s="240"/>
      <c r="K14" s="97"/>
      <c r="L14" s="97"/>
      <c r="M14" s="97"/>
      <c r="N14" s="97"/>
      <c r="O14" s="97"/>
    </row>
    <row r="15" spans="1:15" ht="18" customHeight="1">
      <c r="A15" s="74"/>
      <c r="B15" s="43"/>
      <c r="C15" s="43"/>
      <c r="D15" s="43"/>
      <c r="E15" s="74"/>
      <c r="F15" s="97"/>
      <c r="G15" s="238" t="s">
        <v>392</v>
      </c>
      <c r="H15" s="238"/>
      <c r="I15" s="238"/>
      <c r="J15" s="238"/>
      <c r="K15" s="97"/>
      <c r="L15" s="97"/>
      <c r="M15" s="97"/>
      <c r="N15" s="97"/>
      <c r="O15" s="97"/>
    </row>
    <row r="16" spans="1:15" ht="16.5" customHeight="1">
      <c r="A16" s="74"/>
      <c r="B16" s="43"/>
      <c r="C16" s="43"/>
      <c r="D16" s="43"/>
      <c r="E16" s="74"/>
      <c r="F16" s="97"/>
      <c r="G16" s="97"/>
      <c r="H16" s="97"/>
      <c r="I16" s="97"/>
      <c r="J16" s="97"/>
      <c r="K16" s="97"/>
      <c r="L16" s="97"/>
      <c r="M16" s="97"/>
      <c r="N16" s="97"/>
      <c r="O16" s="97"/>
    </row>
    <row r="17" spans="1:15" ht="16.5" customHeight="1">
      <c r="A17" s="74"/>
      <c r="B17" s="43"/>
      <c r="C17" s="43"/>
      <c r="D17" s="43"/>
      <c r="E17" s="74"/>
      <c r="F17" s="97"/>
      <c r="G17" s="97"/>
      <c r="H17" s="97"/>
      <c r="I17" s="97"/>
      <c r="J17" s="97"/>
      <c r="K17" s="97"/>
      <c r="L17" s="97"/>
      <c r="M17" s="97"/>
      <c r="N17" s="97"/>
      <c r="O17" s="97"/>
    </row>
    <row r="18" spans="1:15" ht="16.5" customHeight="1">
      <c r="A18" s="74"/>
      <c r="B18" s="43"/>
      <c r="C18" s="43"/>
      <c r="D18" s="43"/>
      <c r="E18" s="74"/>
      <c r="F18" s="97"/>
      <c r="G18" s="97"/>
      <c r="H18" s="97"/>
      <c r="I18" s="97"/>
      <c r="J18" s="97"/>
      <c r="K18" s="97"/>
      <c r="L18" s="97"/>
      <c r="M18" s="97"/>
      <c r="N18" s="97"/>
      <c r="O18" s="97"/>
    </row>
    <row r="19" spans="1:15" ht="18" customHeight="1">
      <c r="A19" s="74"/>
      <c r="B19" s="74"/>
      <c r="C19" s="43"/>
      <c r="D19" s="43"/>
      <c r="E19" s="74"/>
      <c r="F19" s="97"/>
      <c r="G19" s="74"/>
      <c r="H19" s="97"/>
      <c r="I19" s="97"/>
      <c r="J19" s="97"/>
      <c r="K19" s="97"/>
      <c r="L19" s="97"/>
      <c r="M19" s="97"/>
      <c r="N19" s="97"/>
      <c r="O19" s="97"/>
    </row>
    <row r="20" spans="1:15" ht="18" customHeight="1">
      <c r="A20" s="74"/>
      <c r="B20" s="74"/>
      <c r="C20" s="43"/>
      <c r="D20" s="43"/>
      <c r="E20" s="74"/>
      <c r="F20" s="97"/>
      <c r="G20" s="74"/>
      <c r="H20" s="97"/>
      <c r="I20" s="97"/>
      <c r="J20" s="97"/>
      <c r="K20" s="97"/>
      <c r="L20" s="97"/>
      <c r="M20" s="97"/>
      <c r="N20" s="97"/>
      <c r="O20" s="97"/>
    </row>
    <row r="21" spans="1:15" ht="18" customHeight="1">
      <c r="A21" s="74"/>
      <c r="B21" s="43"/>
      <c r="C21" s="43"/>
      <c r="D21" s="43"/>
      <c r="E21" s="74"/>
      <c r="F21" s="97"/>
      <c r="G21" s="74"/>
      <c r="H21" s="97"/>
      <c r="I21" s="97"/>
      <c r="J21" s="97"/>
      <c r="K21" s="97"/>
      <c r="L21" s="97"/>
      <c r="M21" s="97"/>
      <c r="N21" s="97"/>
      <c r="O21" s="97"/>
    </row>
    <row r="22" spans="1:15" ht="16.5" customHeight="1">
      <c r="A22" s="74"/>
      <c r="B22" s="43"/>
      <c r="C22" s="43"/>
      <c r="D22" s="43"/>
      <c r="E22" s="74"/>
      <c r="F22" s="97"/>
      <c r="G22" s="97"/>
      <c r="H22" s="97"/>
      <c r="I22" s="97"/>
      <c r="J22" s="97"/>
      <c r="K22" s="97"/>
      <c r="L22" s="97"/>
      <c r="M22" s="97"/>
      <c r="N22" s="97"/>
      <c r="O22" s="97"/>
    </row>
  </sheetData>
  <sheetProtection/>
  <mergeCells count="16">
    <mergeCell ref="K5:N5"/>
    <mergeCell ref="O5:O6"/>
    <mergeCell ref="A12:O12"/>
    <mergeCell ref="G13:J13"/>
    <mergeCell ref="G14:J14"/>
    <mergeCell ref="G15:J15"/>
    <mergeCell ref="A1:O1"/>
    <mergeCell ref="A2:O2"/>
    <mergeCell ref="A3:O3"/>
    <mergeCell ref="A5:A6"/>
    <mergeCell ref="B5:B6"/>
    <mergeCell ref="C5:C6"/>
    <mergeCell ref="D5:D6"/>
    <mergeCell ref="E5:E6"/>
    <mergeCell ref="F5:F6"/>
    <mergeCell ref="G5:J5"/>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4.xml><?xml version="1.0" encoding="utf-8"?>
<worksheet xmlns="http://schemas.openxmlformats.org/spreadsheetml/2006/main" xmlns:r="http://schemas.openxmlformats.org/officeDocument/2006/relationships">
  <dimension ref="A1:J7"/>
  <sheetViews>
    <sheetView showZeros="0" zoomScalePageLayoutView="0" workbookViewId="0" topLeftCell="A1">
      <selection activeCell="A1" sqref="A1:J1"/>
    </sheetView>
  </sheetViews>
  <sheetFormatPr defaultColWidth="9.140625" defaultRowHeight="15"/>
  <cols>
    <col min="1" max="1" width="6.57421875" style="125" customWidth="1"/>
    <col min="2" max="2" width="11.140625" style="125" customWidth="1"/>
    <col min="3" max="3" width="11.140625" style="125" hidden="1" customWidth="1"/>
    <col min="4" max="4" width="46.28125" style="125" customWidth="1"/>
    <col min="5" max="5" width="8.57421875" style="125" customWidth="1"/>
    <col min="6" max="6" width="10.140625" style="125" customWidth="1"/>
    <col min="7" max="7" width="11.00390625" style="125" customWidth="1"/>
    <col min="8" max="8" width="13.57421875" style="125" customWidth="1"/>
    <col min="9" max="9" width="12.8515625" style="125" customWidth="1"/>
    <col min="10" max="10" width="15.57421875" style="125" customWidth="1"/>
    <col min="11" max="16384" width="9.140625" style="125" customWidth="1"/>
  </cols>
  <sheetData>
    <row r="1" spans="1:10" ht="22.5" customHeight="1">
      <c r="A1" s="241" t="s">
        <v>91</v>
      </c>
      <c r="B1" s="241"/>
      <c r="C1" s="241"/>
      <c r="D1" s="241"/>
      <c r="E1" s="241"/>
      <c r="F1" s="241"/>
      <c r="G1" s="241"/>
      <c r="H1" s="241"/>
      <c r="I1" s="241"/>
      <c r="J1" s="241"/>
    </row>
    <row r="2" spans="1:10" ht="19.5" customHeight="1">
      <c r="A2" s="234" t="str">
        <f>'Công trình'!A3</f>
        <v>CÔNG TRÌNH: ĐƯỜNG LÂM SINH XÃ HIỀN CHUNG, NAM ĐỘNG, PHÚ XUÂN, HUYỆN QUAN HÓA, TỈNH THANH HÓA</v>
      </c>
      <c r="B2" s="234"/>
      <c r="C2" s="234"/>
      <c r="D2" s="234"/>
      <c r="E2" s="234"/>
      <c r="F2" s="234"/>
      <c r="G2" s="234"/>
      <c r="H2" s="234"/>
      <c r="I2" s="234"/>
      <c r="J2" s="234"/>
    </row>
    <row r="3" spans="1:10" ht="18" customHeight="1">
      <c r="A3" s="240" t="str">
        <f>'Công trình'!A4</f>
        <v>HẠNG MỤC: XÃ HIỀN CHUNG</v>
      </c>
      <c r="B3" s="240"/>
      <c r="C3" s="240"/>
      <c r="D3" s="240"/>
      <c r="E3" s="240"/>
      <c r="F3" s="240"/>
      <c r="G3" s="240"/>
      <c r="H3" s="240"/>
      <c r="I3" s="240"/>
      <c r="J3" s="240"/>
    </row>
    <row r="4" spans="1:10" ht="16.5" customHeight="1">
      <c r="A4" s="74"/>
      <c r="B4" s="43"/>
      <c r="C4" s="97"/>
      <c r="D4" s="43"/>
      <c r="E4" s="74"/>
      <c r="F4" s="97"/>
      <c r="G4" s="97"/>
      <c r="H4" s="97"/>
      <c r="I4" s="97"/>
      <c r="J4" s="97"/>
    </row>
    <row r="5" spans="1:10" ht="18.75" customHeight="1">
      <c r="A5" s="53" t="s">
        <v>279</v>
      </c>
      <c r="B5" s="51" t="s">
        <v>285</v>
      </c>
      <c r="C5" s="248" t="s">
        <v>389</v>
      </c>
      <c r="D5" s="7" t="s">
        <v>231</v>
      </c>
      <c r="E5" s="7" t="s">
        <v>486</v>
      </c>
      <c r="F5" s="34" t="s">
        <v>224</v>
      </c>
      <c r="G5" s="34" t="s">
        <v>376</v>
      </c>
      <c r="H5" s="34" t="s">
        <v>73</v>
      </c>
      <c r="I5" s="92" t="s">
        <v>111</v>
      </c>
      <c r="J5" s="92" t="s">
        <v>313</v>
      </c>
    </row>
    <row r="6" spans="1:10" ht="15">
      <c r="A6" s="1"/>
      <c r="B6" s="90"/>
      <c r="C6" s="248"/>
      <c r="D6" s="90"/>
      <c r="E6" s="119"/>
      <c r="F6" s="13"/>
      <c r="G6" s="13"/>
      <c r="H6" s="13"/>
      <c r="I6" s="86"/>
      <c r="J6" s="86"/>
    </row>
    <row r="7" spans="1:10" ht="16.5" customHeight="1">
      <c r="A7" s="74"/>
      <c r="B7" s="43"/>
      <c r="C7" s="97"/>
      <c r="D7" s="43"/>
      <c r="E7" s="74"/>
      <c r="F7" s="97"/>
      <c r="G7" s="97"/>
      <c r="H7" s="97"/>
      <c r="I7" s="97"/>
      <c r="J7" s="97"/>
    </row>
  </sheetData>
  <sheetProtection/>
  <mergeCells count="4">
    <mergeCell ref="A1:J1"/>
    <mergeCell ref="A2:J2"/>
    <mergeCell ref="A3:J3"/>
    <mergeCell ref="C5:C6"/>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5.xml><?xml version="1.0" encoding="utf-8"?>
<worksheet xmlns="http://schemas.openxmlformats.org/spreadsheetml/2006/main" xmlns:r="http://schemas.openxmlformats.org/officeDocument/2006/relationships">
  <dimension ref="A1:E7"/>
  <sheetViews>
    <sheetView showZeros="0" zoomScalePageLayoutView="0" workbookViewId="0" topLeftCell="A1">
      <selection activeCell="A1" sqref="A1:E1"/>
    </sheetView>
  </sheetViews>
  <sheetFormatPr defaultColWidth="9.140625" defaultRowHeight="15"/>
  <cols>
    <col min="1" max="1" width="7.8515625" style="125" customWidth="1"/>
    <col min="2" max="2" width="11.8515625" style="125" customWidth="1"/>
    <col min="3" max="3" width="58.7109375" style="125" customWidth="1"/>
    <col min="4" max="4" width="12.140625" style="125" customWidth="1"/>
    <col min="5" max="5" width="16.57421875" style="125" customWidth="1"/>
    <col min="6" max="16384" width="9.140625" style="125" customWidth="1"/>
  </cols>
  <sheetData>
    <row r="1" spans="1:5" ht="22.5" customHeight="1">
      <c r="A1" s="241" t="s">
        <v>388</v>
      </c>
      <c r="B1" s="241"/>
      <c r="C1" s="241"/>
      <c r="D1" s="241"/>
      <c r="E1" s="241"/>
    </row>
    <row r="2" spans="1:5" ht="19.5" customHeight="1">
      <c r="A2" s="234" t="str">
        <f>'Công trình'!A3</f>
        <v>CÔNG TRÌNH: ĐƯỜNG LÂM SINH XÃ HIỀN CHUNG, NAM ĐỘNG, PHÚ XUÂN, HUYỆN QUAN HÓA, TỈNH THANH HÓA</v>
      </c>
      <c r="B2" s="234"/>
      <c r="C2" s="234"/>
      <c r="D2" s="234"/>
      <c r="E2" s="234"/>
    </row>
    <row r="3" spans="1:5" ht="18" customHeight="1">
      <c r="A3" s="240" t="str">
        <f>'Công trình'!A4</f>
        <v>HẠNG MỤC: XÃ HIỀN CHUNG</v>
      </c>
      <c r="B3" s="240"/>
      <c r="C3" s="240"/>
      <c r="D3" s="240"/>
      <c r="E3" s="240"/>
    </row>
    <row r="4" spans="1:5" ht="16.5" customHeight="1">
      <c r="A4" s="74"/>
      <c r="B4" s="43"/>
      <c r="C4" s="43"/>
      <c r="D4" s="74"/>
      <c r="E4" s="97"/>
    </row>
    <row r="5" spans="1:5" ht="20.25" customHeight="1">
      <c r="A5" s="53" t="s">
        <v>279</v>
      </c>
      <c r="B5" s="7" t="s">
        <v>285</v>
      </c>
      <c r="C5" s="7" t="s">
        <v>188</v>
      </c>
      <c r="D5" s="7" t="s">
        <v>486</v>
      </c>
      <c r="E5" s="34" t="s">
        <v>73</v>
      </c>
    </row>
    <row r="6" spans="1:5" ht="16.5">
      <c r="A6" s="276" t="s">
        <v>78</v>
      </c>
      <c r="B6" s="276"/>
      <c r="C6" s="276"/>
      <c r="D6" s="276"/>
      <c r="E6" s="276"/>
    </row>
    <row r="7" spans="1:5" ht="16.5" customHeight="1">
      <c r="A7" s="74"/>
      <c r="B7" s="43"/>
      <c r="C7" s="43"/>
      <c r="D7" s="74"/>
      <c r="E7" s="97"/>
    </row>
  </sheetData>
  <sheetProtection/>
  <mergeCells count="4">
    <mergeCell ref="A1:E1"/>
    <mergeCell ref="A2:E2"/>
    <mergeCell ref="A3:E3"/>
    <mergeCell ref="A6:E6"/>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36.xml><?xml version="1.0" encoding="utf-8"?>
<worksheet xmlns="http://schemas.openxmlformats.org/spreadsheetml/2006/main" xmlns:r="http://schemas.openxmlformats.org/officeDocument/2006/relationships">
  <sheetPr codeName="Sheet1"/>
  <dimension ref="A1:D28"/>
  <sheetViews>
    <sheetView zoomScalePageLayoutView="0" workbookViewId="0" topLeftCell="A1">
      <selection activeCell="A1" sqref="A1"/>
    </sheetView>
  </sheetViews>
  <sheetFormatPr defaultColWidth="9.421875" defaultRowHeight="15"/>
  <cols>
    <col min="1" max="1" width="12.140625" style="0" bestFit="1" customWidth="1"/>
  </cols>
  <sheetData>
    <row r="1" ht="15.75">
      <c r="A1" s="16" t="s">
        <v>110</v>
      </c>
    </row>
    <row r="2" spans="1:4" ht="15">
      <c r="A2" s="125" t="s">
        <v>416</v>
      </c>
      <c r="B2" s="125" t="s">
        <v>499</v>
      </c>
      <c r="C2" s="125">
        <v>1</v>
      </c>
      <c r="D2" s="125">
        <v>1</v>
      </c>
    </row>
    <row r="3" spans="1:4" ht="15">
      <c r="A3" s="125" t="s">
        <v>425</v>
      </c>
      <c r="B3" s="125" t="s">
        <v>87</v>
      </c>
      <c r="C3" s="125">
        <v>1</v>
      </c>
      <c r="D3" s="125">
        <v>1</v>
      </c>
    </row>
    <row r="4" spans="1:4" ht="15">
      <c r="A4" s="125" t="s">
        <v>223</v>
      </c>
      <c r="B4" s="125" t="s">
        <v>259</v>
      </c>
      <c r="C4" s="125">
        <v>0.062</v>
      </c>
      <c r="D4" s="60">
        <v>0.062</v>
      </c>
    </row>
    <row r="5" spans="1:4" ht="15">
      <c r="A5" s="125" t="s">
        <v>454</v>
      </c>
      <c r="B5" s="125" t="s">
        <v>42</v>
      </c>
      <c r="C5" s="125">
        <v>0.01</v>
      </c>
      <c r="D5" s="41">
        <v>0.01</v>
      </c>
    </row>
    <row r="6" spans="1:4" ht="15">
      <c r="A6" s="125" t="s">
        <v>351</v>
      </c>
      <c r="B6" s="125" t="s">
        <v>288</v>
      </c>
      <c r="C6" s="125">
        <v>0.023</v>
      </c>
      <c r="D6" s="60">
        <v>0.023</v>
      </c>
    </row>
    <row r="7" spans="1:4" ht="15">
      <c r="A7" s="125" t="s">
        <v>15</v>
      </c>
      <c r="B7" s="125" t="s">
        <v>233</v>
      </c>
      <c r="C7" s="125">
        <v>1</v>
      </c>
      <c r="D7" s="125">
        <v>1</v>
      </c>
    </row>
    <row r="8" spans="1:4" ht="15">
      <c r="A8" s="125" t="s">
        <v>186</v>
      </c>
      <c r="B8" s="125" t="s">
        <v>21</v>
      </c>
      <c r="C8" s="125">
        <v>0.06</v>
      </c>
      <c r="D8" s="41">
        <v>0.06</v>
      </c>
    </row>
    <row r="9" spans="1:4" ht="15">
      <c r="A9" s="125" t="s">
        <v>358</v>
      </c>
      <c r="B9" s="125" t="s">
        <v>345</v>
      </c>
      <c r="C9" s="125">
        <v>0.02</v>
      </c>
      <c r="D9" s="41">
        <v>0.02</v>
      </c>
    </row>
    <row r="10" spans="1:4" ht="15">
      <c r="A10" s="125" t="s">
        <v>394</v>
      </c>
      <c r="B10" s="125" t="s">
        <v>457</v>
      </c>
      <c r="C10" s="125">
        <v>0.1</v>
      </c>
      <c r="D10" s="41">
        <v>0.1</v>
      </c>
    </row>
    <row r="11" spans="1:4" ht="15">
      <c r="A11" s="125" t="s">
        <v>296</v>
      </c>
      <c r="B11" s="125" t="s">
        <v>119</v>
      </c>
      <c r="C11" s="125">
        <v>0</v>
      </c>
      <c r="D11" s="125">
        <v>0</v>
      </c>
    </row>
    <row r="12" spans="1:4" ht="15">
      <c r="A12" s="125" t="s">
        <v>490</v>
      </c>
      <c r="B12" s="125" t="s">
        <v>95</v>
      </c>
      <c r="C12" s="125">
        <v>0.02</v>
      </c>
      <c r="D12" s="41">
        <v>0.02</v>
      </c>
    </row>
    <row r="13" spans="1:4" ht="15">
      <c r="A13" s="125" t="s">
        <v>79</v>
      </c>
      <c r="B13" s="125" t="s">
        <v>43</v>
      </c>
      <c r="C13" s="125">
        <v>0.03</v>
      </c>
      <c r="D13" s="41">
        <v>0.03</v>
      </c>
    </row>
    <row r="14" spans="1:4" ht="15">
      <c r="A14" s="125" t="s">
        <v>334</v>
      </c>
      <c r="B14" s="125" t="s">
        <v>35</v>
      </c>
      <c r="C14" s="125">
        <v>0</v>
      </c>
      <c r="D14" s="41">
        <v>0</v>
      </c>
    </row>
    <row r="15" spans="1:4" ht="15">
      <c r="A15" s="125" t="s">
        <v>61</v>
      </c>
      <c r="B15" s="125" t="s">
        <v>430</v>
      </c>
      <c r="C15" s="125">
        <v>0.1</v>
      </c>
      <c r="D15" s="41">
        <v>0.1</v>
      </c>
    </row>
    <row r="16" spans="1:4" ht="15">
      <c r="A16" s="125" t="s">
        <v>201</v>
      </c>
      <c r="B16" s="125" t="s">
        <v>237</v>
      </c>
      <c r="C16" s="125">
        <v>0</v>
      </c>
      <c r="D16" s="41">
        <v>0</v>
      </c>
    </row>
    <row r="17" spans="1:4" ht="15">
      <c r="A17" s="125" t="s">
        <v>261</v>
      </c>
      <c r="B17" s="125" t="s">
        <v>200</v>
      </c>
      <c r="C17" s="125">
        <v>0.08</v>
      </c>
      <c r="D17" s="41">
        <v>0.08</v>
      </c>
    </row>
    <row r="18" spans="1:4" ht="15">
      <c r="A18" s="125" t="s">
        <v>329</v>
      </c>
      <c r="B18" s="125" t="s">
        <v>174</v>
      </c>
      <c r="C18" s="125">
        <v>0</v>
      </c>
      <c r="D18" s="41">
        <v>0</v>
      </c>
    </row>
    <row r="19" spans="1:4" ht="15">
      <c r="A19" s="125" t="s">
        <v>290</v>
      </c>
      <c r="B19" s="125" t="s">
        <v>268</v>
      </c>
      <c r="C19" s="125">
        <v>0</v>
      </c>
      <c r="D19" s="41">
        <v>0</v>
      </c>
    </row>
    <row r="20" spans="1:4" ht="15">
      <c r="A20" s="125" t="s">
        <v>448</v>
      </c>
      <c r="B20" s="125" t="s">
        <v>169</v>
      </c>
      <c r="C20" s="125">
        <v>0</v>
      </c>
      <c r="D20" s="41">
        <v>0</v>
      </c>
    </row>
    <row r="21" spans="1:4" ht="15">
      <c r="A21" s="125" t="s">
        <v>251</v>
      </c>
      <c r="B21" s="125" t="s">
        <v>181</v>
      </c>
      <c r="C21" s="125">
        <v>0</v>
      </c>
      <c r="D21" s="41">
        <v>0</v>
      </c>
    </row>
    <row r="22" spans="1:4" ht="15">
      <c r="A22" s="125" t="s">
        <v>343</v>
      </c>
      <c r="B22" s="125" t="s">
        <v>77</v>
      </c>
      <c r="C22" s="125">
        <v>0</v>
      </c>
      <c r="D22" s="41">
        <v>0</v>
      </c>
    </row>
    <row r="23" spans="1:4" ht="15">
      <c r="A23" s="125" t="s">
        <v>302</v>
      </c>
      <c r="B23" s="125" t="s">
        <v>292</v>
      </c>
      <c r="C23" s="125">
        <v>0</v>
      </c>
      <c r="D23" s="41">
        <v>0</v>
      </c>
    </row>
    <row r="24" spans="1:4" ht="15">
      <c r="A24" s="125" t="s">
        <v>14</v>
      </c>
      <c r="B24" s="125" t="s">
        <v>157</v>
      </c>
      <c r="C24" s="125">
        <v>0</v>
      </c>
      <c r="D24" s="41">
        <v>0</v>
      </c>
    </row>
    <row r="25" spans="1:4" ht="15">
      <c r="A25" s="125" t="s">
        <v>146</v>
      </c>
      <c r="B25" s="125" t="s">
        <v>196</v>
      </c>
      <c r="C25" s="125">
        <v>0</v>
      </c>
      <c r="D25" s="41">
        <v>0</v>
      </c>
    </row>
    <row r="26" spans="1:4" ht="15">
      <c r="A26" s="125" t="s">
        <v>281</v>
      </c>
      <c r="B26" s="125" t="s">
        <v>434</v>
      </c>
      <c r="C26" s="125">
        <v>0</v>
      </c>
      <c r="D26" s="41">
        <v>0</v>
      </c>
    </row>
    <row r="27" spans="1:4" ht="15">
      <c r="A27" s="125" t="s">
        <v>403</v>
      </c>
      <c r="B27" s="125" t="s">
        <v>342</v>
      </c>
      <c r="C27" s="125">
        <v>0</v>
      </c>
      <c r="D27" s="41">
        <v>0</v>
      </c>
    </row>
    <row r="28" spans="1:4" ht="15">
      <c r="A28" s="125" t="s">
        <v>473</v>
      </c>
      <c r="B28" s="125" t="s">
        <v>339</v>
      </c>
      <c r="C28" s="125">
        <v>0</v>
      </c>
      <c r="D28" s="41">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Y23"/>
  <sheetViews>
    <sheetView showZeros="0" zoomScalePageLayoutView="0" workbookViewId="0" topLeftCell="A1">
      <selection activeCell="A2" sqref="A2:IV2"/>
    </sheetView>
  </sheetViews>
  <sheetFormatPr defaultColWidth="9.140625" defaultRowHeight="15"/>
  <cols>
    <col min="1" max="1" width="6.57421875" style="125" customWidth="1"/>
    <col min="2" max="2" width="12.00390625" style="125" hidden="1" customWidth="1"/>
    <col min="3" max="3" width="12.00390625" style="125" customWidth="1"/>
    <col min="4" max="4" width="40.140625" style="125" customWidth="1"/>
    <col min="5" max="5" width="7.8515625" style="125" customWidth="1"/>
    <col min="6" max="6" width="12.28125" style="125" hidden="1" customWidth="1"/>
    <col min="7" max="7" width="6.7109375" style="125" hidden="1" customWidth="1"/>
    <col min="8" max="8" width="7.00390625" style="125" hidden="1" customWidth="1"/>
    <col min="9" max="9" width="6.421875" style="125" hidden="1" customWidth="1"/>
    <col min="10" max="10" width="9.8515625" style="125" hidden="1" customWidth="1"/>
    <col min="11" max="11" width="23.8515625" style="125" hidden="1" customWidth="1"/>
    <col min="12" max="12" width="13.00390625" style="125" customWidth="1"/>
    <col min="13" max="13" width="8.140625" style="125" bestFit="1" customWidth="1"/>
    <col min="14" max="14" width="12.140625" style="125" hidden="1" customWidth="1"/>
    <col min="15" max="15" width="10.8515625" style="125" bestFit="1" customWidth="1"/>
    <col min="16" max="16" width="11.7109375" style="125" customWidth="1"/>
    <col min="17" max="17" width="8.140625" style="125" bestFit="1" customWidth="1"/>
    <col min="18" max="18" width="13.140625" style="125" hidden="1" customWidth="1"/>
    <col min="19" max="19" width="11.28125" style="125" bestFit="1" customWidth="1"/>
    <col min="20" max="20" width="11.57421875" style="125" customWidth="1"/>
    <col min="21" max="21" width="5.8515625" style="125" hidden="1" customWidth="1"/>
    <col min="22" max="22" width="5.421875" style="125" hidden="1" customWidth="1"/>
    <col min="23" max="23" width="5.140625" style="125" hidden="1" customWidth="1"/>
    <col min="24" max="25" width="17.7109375" style="125" customWidth="1"/>
    <col min="26" max="16384" width="9.140625" style="125" customWidth="1"/>
  </cols>
  <sheetData>
    <row r="1" spans="1:25" ht="22.5" customHeight="1">
      <c r="A1" s="231" t="s">
        <v>395</v>
      </c>
      <c r="B1" s="231"/>
      <c r="C1" s="231"/>
      <c r="D1" s="231"/>
      <c r="E1" s="231"/>
      <c r="F1" s="231"/>
      <c r="G1" s="231"/>
      <c r="H1" s="231"/>
      <c r="I1" s="231"/>
      <c r="J1" s="231"/>
      <c r="K1" s="231"/>
      <c r="L1" s="231"/>
      <c r="M1" s="231"/>
      <c r="N1" s="231"/>
      <c r="O1" s="231"/>
      <c r="P1" s="231"/>
      <c r="Q1" s="231"/>
      <c r="R1" s="231"/>
      <c r="S1" s="231"/>
      <c r="T1" s="231"/>
      <c r="U1" s="231"/>
      <c r="V1" s="231"/>
      <c r="W1" s="231"/>
      <c r="X1" s="26"/>
      <c r="Y1" s="26"/>
    </row>
    <row r="2" spans="1:25" ht="18" customHeight="1" hidden="1">
      <c r="A2" s="243" t="s">
        <v>545</v>
      </c>
      <c r="B2" s="243"/>
      <c r="C2" s="243"/>
      <c r="D2" s="243"/>
      <c r="E2" s="243"/>
      <c r="F2" s="243"/>
      <c r="G2" s="243"/>
      <c r="H2" s="243"/>
      <c r="I2" s="243"/>
      <c r="J2" s="243"/>
      <c r="K2" s="243"/>
      <c r="L2" s="243"/>
      <c r="M2" s="243"/>
      <c r="N2" s="243"/>
      <c r="O2" s="243"/>
      <c r="P2" s="243"/>
      <c r="Q2" s="243"/>
      <c r="R2" s="243"/>
      <c r="S2" s="243"/>
      <c r="T2" s="243"/>
      <c r="U2" s="243"/>
      <c r="V2" s="243"/>
      <c r="W2" s="243"/>
      <c r="X2" s="26"/>
      <c r="Y2" s="26"/>
    </row>
    <row r="3" spans="1:25" ht="19.5" customHeight="1">
      <c r="A3" s="244" t="s">
        <v>531</v>
      </c>
      <c r="B3" s="244"/>
      <c r="C3" s="244"/>
      <c r="D3" s="244"/>
      <c r="E3" s="244"/>
      <c r="F3" s="244"/>
      <c r="G3" s="244"/>
      <c r="H3" s="244"/>
      <c r="I3" s="244"/>
      <c r="J3" s="244"/>
      <c r="K3" s="244"/>
      <c r="L3" s="244"/>
      <c r="M3" s="244"/>
      <c r="N3" s="244"/>
      <c r="O3" s="244"/>
      <c r="P3" s="244"/>
      <c r="Q3" s="244"/>
      <c r="R3" s="244"/>
      <c r="S3" s="244"/>
      <c r="T3" s="244"/>
      <c r="U3" s="244"/>
      <c r="V3" s="244"/>
      <c r="W3" s="244"/>
      <c r="X3" s="26"/>
      <c r="Y3" s="26"/>
    </row>
    <row r="4" spans="1:25" ht="18" customHeight="1">
      <c r="A4" s="232" t="s">
        <v>532</v>
      </c>
      <c r="B4" s="232"/>
      <c r="C4" s="232"/>
      <c r="D4" s="232"/>
      <c r="E4" s="232"/>
      <c r="F4" s="232"/>
      <c r="G4" s="232"/>
      <c r="H4" s="232"/>
      <c r="I4" s="232"/>
      <c r="J4" s="232"/>
      <c r="K4" s="232"/>
      <c r="L4" s="232"/>
      <c r="M4" s="232"/>
      <c r="N4" s="232"/>
      <c r="O4" s="232"/>
      <c r="P4" s="232"/>
      <c r="Q4" s="232"/>
      <c r="R4" s="232"/>
      <c r="S4" s="232"/>
      <c r="T4" s="232"/>
      <c r="U4" s="232"/>
      <c r="V4" s="232"/>
      <c r="W4" s="232"/>
      <c r="X4" s="26"/>
      <c r="Y4" s="26"/>
    </row>
    <row r="5" spans="1:25" ht="18.75" customHeight="1">
      <c r="A5" s="245" t="s">
        <v>279</v>
      </c>
      <c r="B5" s="246" t="s">
        <v>502</v>
      </c>
      <c r="C5" s="247" t="s">
        <v>507</v>
      </c>
      <c r="D5" s="246" t="s">
        <v>108</v>
      </c>
      <c r="E5" s="246" t="s">
        <v>486</v>
      </c>
      <c r="F5" s="251" t="s">
        <v>258</v>
      </c>
      <c r="G5" s="252" t="s">
        <v>94</v>
      </c>
      <c r="H5" s="252"/>
      <c r="I5" s="252"/>
      <c r="J5" s="252" t="s">
        <v>399</v>
      </c>
      <c r="K5" s="250" t="s">
        <v>317</v>
      </c>
      <c r="L5" s="250" t="s">
        <v>471</v>
      </c>
      <c r="M5" s="251" t="s">
        <v>111</v>
      </c>
      <c r="N5" s="251"/>
      <c r="O5" s="251"/>
      <c r="P5" s="251"/>
      <c r="Q5" s="251" t="s">
        <v>313</v>
      </c>
      <c r="R5" s="251"/>
      <c r="S5" s="251"/>
      <c r="T5" s="251"/>
      <c r="U5" s="248" t="s">
        <v>316</v>
      </c>
      <c r="V5" s="248"/>
      <c r="W5" s="248"/>
      <c r="X5" s="249" t="s">
        <v>111</v>
      </c>
      <c r="Y5" s="249" t="s">
        <v>376</v>
      </c>
    </row>
    <row r="6" spans="1:25" ht="28.5">
      <c r="A6" s="245"/>
      <c r="B6" s="246"/>
      <c r="C6" s="247"/>
      <c r="D6" s="246"/>
      <c r="E6" s="246"/>
      <c r="F6" s="251"/>
      <c r="G6" s="180" t="s">
        <v>222</v>
      </c>
      <c r="H6" s="180" t="s">
        <v>75</v>
      </c>
      <c r="I6" s="180" t="s">
        <v>93</v>
      </c>
      <c r="J6" s="252"/>
      <c r="K6" s="250"/>
      <c r="L6" s="250"/>
      <c r="M6" s="179" t="s">
        <v>125</v>
      </c>
      <c r="N6" s="179" t="s">
        <v>60</v>
      </c>
      <c r="O6" s="179" t="s">
        <v>59</v>
      </c>
      <c r="P6" s="179" t="s">
        <v>192</v>
      </c>
      <c r="Q6" s="179" t="s">
        <v>125</v>
      </c>
      <c r="R6" s="179" t="s">
        <v>60</v>
      </c>
      <c r="S6" s="179" t="s">
        <v>59</v>
      </c>
      <c r="T6" s="179" t="s">
        <v>192</v>
      </c>
      <c r="U6" s="7" t="s">
        <v>172</v>
      </c>
      <c r="V6" s="7" t="s">
        <v>391</v>
      </c>
      <c r="W6" s="7" t="s">
        <v>406</v>
      </c>
      <c r="X6" s="249"/>
      <c r="Y6" s="249"/>
    </row>
    <row r="7" spans="1:25" ht="30">
      <c r="A7" s="181">
        <v>1</v>
      </c>
      <c r="B7" s="182"/>
      <c r="C7" s="183" t="s">
        <v>141</v>
      </c>
      <c r="D7" s="182" t="s">
        <v>99</v>
      </c>
      <c r="E7" s="184" t="s">
        <v>282</v>
      </c>
      <c r="F7" s="185"/>
      <c r="G7" s="186"/>
      <c r="H7" s="186"/>
      <c r="I7" s="186"/>
      <c r="J7" s="186"/>
      <c r="K7" s="187"/>
      <c r="L7" s="187">
        <f>ROUND(SUM(K8:K8),4)</f>
        <v>80.3726</v>
      </c>
      <c r="M7" s="185"/>
      <c r="N7" s="185"/>
      <c r="O7" s="185">
        <v>753527</v>
      </c>
      <c r="P7" s="185">
        <v>870450</v>
      </c>
      <c r="Q7" s="185">
        <f>ROUND(L7*M7,0)</f>
        <v>0</v>
      </c>
      <c r="R7" s="185">
        <f>ROUND(L7*N7,0)</f>
        <v>0</v>
      </c>
      <c r="S7" s="185">
        <f>ROUND(L7*O7,0)</f>
        <v>60562924</v>
      </c>
      <c r="T7" s="185">
        <f>ROUND(L7*P7,0)</f>
        <v>69960330</v>
      </c>
      <c r="U7" s="151"/>
      <c r="V7" s="151"/>
      <c r="W7" s="151"/>
      <c r="X7" s="59" t="s">
        <v>308</v>
      </c>
      <c r="Y7" s="59" t="s">
        <v>318</v>
      </c>
    </row>
    <row r="8" spans="1:25" ht="15">
      <c r="A8" s="188"/>
      <c r="B8" s="189"/>
      <c r="C8" s="190" t="s">
        <v>414</v>
      </c>
      <c r="D8" s="189" t="s">
        <v>364</v>
      </c>
      <c r="E8" s="191"/>
      <c r="F8" s="192"/>
      <c r="G8" s="193"/>
      <c r="H8" s="193"/>
      <c r="I8" s="193"/>
      <c r="J8" s="193"/>
      <c r="K8" s="194">
        <v>80.3726</v>
      </c>
      <c r="L8" s="194"/>
      <c r="M8" s="192"/>
      <c r="N8" s="192"/>
      <c r="O8" s="192"/>
      <c r="P8" s="192"/>
      <c r="Q8" s="192"/>
      <c r="R8" s="192"/>
      <c r="S8" s="192"/>
      <c r="T8" s="192"/>
      <c r="U8" s="18"/>
      <c r="V8" s="18"/>
      <c r="W8" s="18"/>
      <c r="X8" s="85"/>
      <c r="Y8" s="85"/>
    </row>
    <row r="9" spans="1:25" ht="30">
      <c r="A9" s="188">
        <v>2</v>
      </c>
      <c r="B9" s="189"/>
      <c r="C9" s="190" t="s">
        <v>431</v>
      </c>
      <c r="D9" s="195" t="s">
        <v>183</v>
      </c>
      <c r="E9" s="191" t="s">
        <v>282</v>
      </c>
      <c r="F9" s="192"/>
      <c r="G9" s="193"/>
      <c r="H9" s="193"/>
      <c r="I9" s="193"/>
      <c r="J9" s="193"/>
      <c r="K9" s="194"/>
      <c r="L9" s="194">
        <f>ROUND(SUM(K10:K10),4)</f>
        <v>3.9</v>
      </c>
      <c r="M9" s="192"/>
      <c r="N9" s="192"/>
      <c r="O9" s="192">
        <v>1088225</v>
      </c>
      <c r="P9" s="192">
        <v>947642</v>
      </c>
      <c r="Q9" s="192">
        <f>ROUND(L9*M9,0)</f>
        <v>0</v>
      </c>
      <c r="R9" s="192">
        <f>ROUND(L9*N9,0)</f>
        <v>0</v>
      </c>
      <c r="S9" s="192">
        <f>ROUND(L9*O9,0)</f>
        <v>4244078</v>
      </c>
      <c r="T9" s="192">
        <f>ROUND(L9*P9,0)</f>
        <v>3695804</v>
      </c>
      <c r="U9" s="18"/>
      <c r="V9" s="18"/>
      <c r="W9" s="18"/>
      <c r="X9" s="85" t="s">
        <v>308</v>
      </c>
      <c r="Y9" s="85" t="s">
        <v>318</v>
      </c>
    </row>
    <row r="10" spans="1:25" ht="15">
      <c r="A10" s="188"/>
      <c r="B10" s="189"/>
      <c r="C10" s="190" t="s">
        <v>414</v>
      </c>
      <c r="D10" s="195" t="s">
        <v>548</v>
      </c>
      <c r="E10" s="191"/>
      <c r="F10" s="192"/>
      <c r="G10" s="193"/>
      <c r="H10" s="193"/>
      <c r="I10" s="193"/>
      <c r="J10" s="193"/>
      <c r="K10" s="194">
        <v>3.9</v>
      </c>
      <c r="L10" s="194"/>
      <c r="M10" s="192"/>
      <c r="N10" s="192"/>
      <c r="O10" s="192"/>
      <c r="P10" s="192"/>
      <c r="Q10" s="192"/>
      <c r="R10" s="192"/>
      <c r="S10" s="192"/>
      <c r="T10" s="192"/>
      <c r="U10" s="18"/>
      <c r="V10" s="18"/>
      <c r="W10" s="18"/>
      <c r="X10" s="85"/>
      <c r="Y10" s="85"/>
    </row>
    <row r="11" spans="1:25" ht="15">
      <c r="A11" s="188">
        <v>3</v>
      </c>
      <c r="B11" s="189"/>
      <c r="C11" s="190" t="s">
        <v>216</v>
      </c>
      <c r="D11" s="195" t="s">
        <v>546</v>
      </c>
      <c r="E11" s="191" t="s">
        <v>197</v>
      </c>
      <c r="F11" s="192"/>
      <c r="G11" s="193"/>
      <c r="H11" s="193"/>
      <c r="I11" s="193"/>
      <c r="J11" s="193"/>
      <c r="K11" s="194"/>
      <c r="L11" s="194">
        <f>ROUND(SUM(K12:K12),4)</f>
        <v>12.06</v>
      </c>
      <c r="M11" s="192"/>
      <c r="N11" s="192"/>
      <c r="O11" s="192">
        <v>246908</v>
      </c>
      <c r="P11" s="192"/>
      <c r="Q11" s="192">
        <f>ROUND(L11*M11,0)</f>
        <v>0</v>
      </c>
      <c r="R11" s="192">
        <f>ROUND(L11*N11,0)</f>
        <v>0</v>
      </c>
      <c r="S11" s="192">
        <f>ROUND(L11*O11,0)</f>
        <v>2977710</v>
      </c>
      <c r="T11" s="192">
        <f>ROUND(L11*P11,0)</f>
        <v>0</v>
      </c>
      <c r="U11" s="18"/>
      <c r="V11" s="18"/>
      <c r="W11" s="18"/>
      <c r="X11" s="85" t="s">
        <v>308</v>
      </c>
      <c r="Y11" s="85" t="s">
        <v>318</v>
      </c>
    </row>
    <row r="12" spans="1:25" ht="15">
      <c r="A12" s="188"/>
      <c r="B12" s="189"/>
      <c r="C12" s="190" t="s">
        <v>414</v>
      </c>
      <c r="D12" s="195" t="s">
        <v>547</v>
      </c>
      <c r="E12" s="191"/>
      <c r="F12" s="192"/>
      <c r="G12" s="193"/>
      <c r="H12" s="193"/>
      <c r="I12" s="193"/>
      <c r="J12" s="193"/>
      <c r="K12" s="194">
        <v>12.06</v>
      </c>
      <c r="L12" s="194"/>
      <c r="M12" s="192"/>
      <c r="N12" s="192"/>
      <c r="O12" s="192"/>
      <c r="P12" s="192"/>
      <c r="Q12" s="192"/>
      <c r="R12" s="192"/>
      <c r="S12" s="192"/>
      <c r="T12" s="192"/>
      <c r="U12" s="18"/>
      <c r="V12" s="18"/>
      <c r="W12" s="18"/>
      <c r="X12" s="85"/>
      <c r="Y12" s="85"/>
    </row>
    <row r="13" spans="1:25" ht="15">
      <c r="A13" s="196"/>
      <c r="B13" s="197"/>
      <c r="C13" s="197"/>
      <c r="D13" s="197"/>
      <c r="E13" s="198"/>
      <c r="F13" s="199"/>
      <c r="G13" s="200"/>
      <c r="H13" s="200"/>
      <c r="I13" s="200"/>
      <c r="J13" s="200"/>
      <c r="K13" s="201"/>
      <c r="L13" s="201"/>
      <c r="M13" s="199"/>
      <c r="N13" s="199"/>
      <c r="O13" s="199"/>
      <c r="P13" s="199"/>
      <c r="Q13" s="199"/>
      <c r="R13" s="199"/>
      <c r="S13" s="199"/>
      <c r="T13" s="199"/>
      <c r="U13" s="93"/>
      <c r="V13" s="93"/>
      <c r="W13" s="93"/>
      <c r="X13" s="158"/>
      <c r="Y13" s="158"/>
    </row>
    <row r="14" spans="1:25" ht="18" customHeight="1">
      <c r="A14" s="202"/>
      <c r="B14" s="203"/>
      <c r="C14" s="204" t="s">
        <v>413</v>
      </c>
      <c r="D14" s="205" t="s">
        <v>412</v>
      </c>
      <c r="E14" s="206"/>
      <c r="F14" s="207"/>
      <c r="G14" s="208"/>
      <c r="H14" s="208"/>
      <c r="I14" s="208"/>
      <c r="J14" s="208"/>
      <c r="K14" s="209"/>
      <c r="L14" s="209"/>
      <c r="M14" s="207"/>
      <c r="N14" s="207"/>
      <c r="O14" s="207"/>
      <c r="P14" s="207"/>
      <c r="Q14" s="210">
        <f>SUM(Q7:Q11)</f>
        <v>0</v>
      </c>
      <c r="R14" s="210">
        <f>SUM(R7:R11)</f>
        <v>0</v>
      </c>
      <c r="S14" s="210">
        <f>SUM(S7:S11)</f>
        <v>67784712</v>
      </c>
      <c r="T14" s="210">
        <f>SUM(T7:T11)</f>
        <v>73656134</v>
      </c>
      <c r="U14" s="88"/>
      <c r="V14" s="88"/>
      <c r="W14" s="88"/>
      <c r="X14" s="15"/>
      <c r="Y14" s="94"/>
    </row>
    <row r="15" spans="1:25" ht="18" customHeight="1">
      <c r="A15" s="74"/>
      <c r="B15" s="43"/>
      <c r="C15" s="43"/>
      <c r="D15" s="43"/>
      <c r="E15" s="74"/>
      <c r="F15" s="97"/>
      <c r="G15" s="97"/>
      <c r="H15" s="97"/>
      <c r="I15" s="97"/>
      <c r="J15" s="97"/>
      <c r="K15" s="97"/>
      <c r="L15" s="97"/>
      <c r="M15" s="97"/>
      <c r="N15" s="97"/>
      <c r="O15" s="97"/>
      <c r="P15" s="97"/>
      <c r="Q15" s="97"/>
      <c r="R15" s="97"/>
      <c r="S15" s="97"/>
      <c r="T15" s="97"/>
      <c r="U15" s="97"/>
      <c r="V15" s="97"/>
      <c r="W15" s="97"/>
      <c r="X15" s="26"/>
      <c r="Y15" s="26"/>
    </row>
    <row r="16" spans="1:25" ht="18" customHeight="1">
      <c r="A16" s="74"/>
      <c r="B16" s="43"/>
      <c r="C16" s="232"/>
      <c r="D16" s="232"/>
      <c r="E16" s="74"/>
      <c r="F16" s="97"/>
      <c r="G16" s="97"/>
      <c r="H16" s="97"/>
      <c r="I16" s="97"/>
      <c r="J16" s="97"/>
      <c r="K16" s="97"/>
      <c r="L16" s="97"/>
      <c r="M16" s="97"/>
      <c r="N16" s="97"/>
      <c r="O16" s="97"/>
      <c r="P16" s="240"/>
      <c r="Q16" s="240"/>
      <c r="R16" s="240"/>
      <c r="S16" s="240"/>
      <c r="T16" s="240"/>
      <c r="U16" s="97"/>
      <c r="V16" s="97"/>
      <c r="W16" s="97"/>
      <c r="X16" s="26"/>
      <c r="Y16" s="26"/>
    </row>
    <row r="17" spans="1:25" ht="18" customHeight="1">
      <c r="A17" s="74"/>
      <c r="B17" s="43"/>
      <c r="C17" s="43"/>
      <c r="D17" s="43"/>
      <c r="E17" s="74"/>
      <c r="F17" s="97"/>
      <c r="G17" s="97"/>
      <c r="H17" s="97"/>
      <c r="I17" s="97"/>
      <c r="J17" s="97"/>
      <c r="K17" s="97"/>
      <c r="L17" s="97"/>
      <c r="M17" s="97"/>
      <c r="N17" s="97"/>
      <c r="O17" s="97"/>
      <c r="P17" s="97"/>
      <c r="Q17" s="97"/>
      <c r="R17" s="97"/>
      <c r="S17" s="97"/>
      <c r="T17" s="97"/>
      <c r="U17" s="97"/>
      <c r="V17" s="97"/>
      <c r="W17" s="97"/>
      <c r="X17" s="26"/>
      <c r="Y17" s="26"/>
    </row>
    <row r="18" spans="1:25" ht="18" customHeight="1">
      <c r="A18" s="74"/>
      <c r="B18" s="43"/>
      <c r="C18" s="43"/>
      <c r="D18" s="43"/>
      <c r="E18" s="74"/>
      <c r="F18" s="97"/>
      <c r="G18" s="97"/>
      <c r="H18" s="97"/>
      <c r="I18" s="97"/>
      <c r="J18" s="97"/>
      <c r="K18" s="97"/>
      <c r="L18" s="97"/>
      <c r="M18" s="97"/>
      <c r="N18" s="97"/>
      <c r="O18" s="97"/>
      <c r="P18" s="97"/>
      <c r="Q18" s="97"/>
      <c r="R18" s="97"/>
      <c r="S18" s="97"/>
      <c r="T18" s="97"/>
      <c r="U18" s="97"/>
      <c r="V18" s="97"/>
      <c r="W18" s="97"/>
      <c r="X18" s="26"/>
      <c r="Y18" s="26"/>
    </row>
    <row r="19" spans="1:25" ht="18" customHeight="1">
      <c r="A19" s="74"/>
      <c r="B19" s="43"/>
      <c r="C19" s="43"/>
      <c r="D19" s="43"/>
      <c r="E19" s="74"/>
      <c r="F19" s="97"/>
      <c r="G19" s="97"/>
      <c r="H19" s="97"/>
      <c r="I19" s="97"/>
      <c r="J19" s="97"/>
      <c r="K19" s="97"/>
      <c r="L19" s="97"/>
      <c r="M19" s="97"/>
      <c r="N19" s="97"/>
      <c r="O19" s="97"/>
      <c r="P19" s="97"/>
      <c r="Q19" s="97"/>
      <c r="R19" s="97"/>
      <c r="S19" s="97"/>
      <c r="T19" s="97"/>
      <c r="U19" s="97"/>
      <c r="V19" s="97"/>
      <c r="W19" s="97"/>
      <c r="X19" s="26"/>
      <c r="Y19" s="26"/>
    </row>
    <row r="20" spans="1:25" ht="18" customHeight="1">
      <c r="A20" s="74"/>
      <c r="B20" s="43"/>
      <c r="C20" s="43"/>
      <c r="D20" s="43"/>
      <c r="E20" s="74"/>
      <c r="F20" s="97"/>
      <c r="G20" s="97"/>
      <c r="H20" s="97"/>
      <c r="I20" s="97"/>
      <c r="J20" s="97"/>
      <c r="K20" s="97"/>
      <c r="L20" s="97"/>
      <c r="M20" s="97"/>
      <c r="N20" s="97"/>
      <c r="O20" s="97"/>
      <c r="P20" s="97"/>
      <c r="Q20" s="97"/>
      <c r="R20" s="97"/>
      <c r="S20" s="97"/>
      <c r="T20" s="97"/>
      <c r="U20" s="97"/>
      <c r="V20" s="97"/>
      <c r="W20" s="97"/>
      <c r="X20" s="26"/>
      <c r="Y20" s="26"/>
    </row>
    <row r="21" spans="1:25" ht="18" customHeight="1">
      <c r="A21" s="74"/>
      <c r="B21" s="43"/>
      <c r="C21" s="43"/>
      <c r="D21" s="195"/>
      <c r="E21" s="74"/>
      <c r="F21" s="97"/>
      <c r="G21" s="97"/>
      <c r="H21" s="97"/>
      <c r="I21" s="97"/>
      <c r="J21" s="97"/>
      <c r="K21" s="97"/>
      <c r="L21" s="97"/>
      <c r="M21" s="97"/>
      <c r="N21" s="97"/>
      <c r="O21" s="97"/>
      <c r="P21" s="238"/>
      <c r="Q21" s="238"/>
      <c r="R21" s="238"/>
      <c r="S21" s="238"/>
      <c r="T21" s="238"/>
      <c r="U21" s="97"/>
      <c r="V21" s="97"/>
      <c r="W21" s="97"/>
      <c r="X21" s="26"/>
      <c r="Y21" s="26"/>
    </row>
    <row r="22" spans="1:25" ht="18" customHeight="1">
      <c r="A22" s="74"/>
      <c r="B22" s="43"/>
      <c r="C22" s="43"/>
      <c r="D22" s="43"/>
      <c r="E22" s="74"/>
      <c r="F22" s="97"/>
      <c r="G22" s="97"/>
      <c r="H22" s="97"/>
      <c r="I22" s="97"/>
      <c r="J22" s="97"/>
      <c r="K22" s="97"/>
      <c r="L22" s="97"/>
      <c r="M22" s="97"/>
      <c r="N22" s="97"/>
      <c r="O22" s="97"/>
      <c r="P22" s="238"/>
      <c r="Q22" s="238"/>
      <c r="R22" s="238"/>
      <c r="S22" s="238"/>
      <c r="T22" s="238"/>
      <c r="U22" s="97"/>
      <c r="V22" s="97"/>
      <c r="W22" s="97"/>
      <c r="X22" s="26"/>
      <c r="Y22" s="26"/>
    </row>
    <row r="23" spans="1:25" ht="16.5" customHeight="1">
      <c r="A23" s="74"/>
      <c r="B23" s="43"/>
      <c r="C23" s="43"/>
      <c r="D23" s="43"/>
      <c r="E23" s="74"/>
      <c r="F23" s="97"/>
      <c r="G23" s="97"/>
      <c r="H23" s="97"/>
      <c r="I23" s="97"/>
      <c r="J23" s="97"/>
      <c r="K23" s="97"/>
      <c r="L23" s="97"/>
      <c r="M23" s="97"/>
      <c r="N23" s="97"/>
      <c r="O23" s="97"/>
      <c r="P23" s="97"/>
      <c r="Q23" s="97"/>
      <c r="R23" s="97"/>
      <c r="S23" s="97"/>
      <c r="T23" s="97"/>
      <c r="U23" s="97"/>
      <c r="V23" s="97"/>
      <c r="W23" s="97"/>
      <c r="X23" s="26"/>
      <c r="Y23" s="26"/>
    </row>
  </sheetData>
  <sheetProtection/>
  <mergeCells count="23">
    <mergeCell ref="Y5:Y6"/>
    <mergeCell ref="C16:D16"/>
    <mergeCell ref="P16:T16"/>
    <mergeCell ref="P21:T21"/>
    <mergeCell ref="G5:I5"/>
    <mergeCell ref="J5:J6"/>
    <mergeCell ref="K5:K6"/>
    <mergeCell ref="D5:D6"/>
    <mergeCell ref="E5:E6"/>
    <mergeCell ref="F5:F6"/>
    <mergeCell ref="P22:T22"/>
    <mergeCell ref="U5:W5"/>
    <mergeCell ref="X5:X6"/>
    <mergeCell ref="L5:L6"/>
    <mergeCell ref="M5:P5"/>
    <mergeCell ref="Q5:T5"/>
    <mergeCell ref="A1:W1"/>
    <mergeCell ref="A2:W2"/>
    <mergeCell ref="A3:W3"/>
    <mergeCell ref="A4:W4"/>
    <mergeCell ref="A5:A6"/>
    <mergeCell ref="B5:B6"/>
    <mergeCell ref="C5:C6"/>
  </mergeCells>
  <printOptions horizontalCentered="1"/>
  <pageMargins left="0.3" right="0.2" top="0.5" bottom="0.3" header="0.3" footer="0.3"/>
  <pageSetup horizontalDpi="600" verticalDpi="600" orientation="landscape" paperSize="9" r:id="rId1"/>
  <headerFooter alignWithMargins="0">
    <oddHeader>&amp;L&amp;BDự toán F1</oddHeader>
  </headerFooter>
</worksheet>
</file>

<file path=xl/worksheets/sheet5.xml><?xml version="1.0" encoding="utf-8"?>
<worksheet xmlns="http://schemas.openxmlformats.org/spreadsheetml/2006/main" xmlns:r="http://schemas.openxmlformats.org/officeDocument/2006/relationships">
  <sheetPr>
    <tabColor theme="0"/>
  </sheetPr>
  <dimension ref="A1:Q12"/>
  <sheetViews>
    <sheetView showZeros="0" zoomScalePageLayoutView="0" workbookViewId="0" topLeftCell="A1">
      <selection activeCell="A1" sqref="A1:Q11"/>
    </sheetView>
  </sheetViews>
  <sheetFormatPr defaultColWidth="9.140625" defaultRowHeight="15"/>
  <cols>
    <col min="1" max="1" width="6.7109375" style="125" customWidth="1"/>
    <col min="2" max="2" width="11.421875" style="125" customWidth="1"/>
    <col min="3" max="3" width="11.140625" style="125" hidden="1" customWidth="1"/>
    <col min="4" max="4" width="17.28125" style="125" hidden="1" customWidth="1"/>
    <col min="5" max="5" width="42.421875" style="125" customWidth="1"/>
    <col min="6" max="6" width="11.421875" style="125" hidden="1" customWidth="1"/>
    <col min="7" max="7" width="13.28125" style="125" hidden="1" customWidth="1"/>
    <col min="8" max="8" width="9.7109375" style="125" customWidth="1"/>
    <col min="9" max="9" width="9.00390625" style="125" hidden="1" customWidth="1"/>
    <col min="10" max="10" width="13.57421875" style="125" customWidth="1"/>
    <col min="11" max="11" width="13.7109375" style="125" customWidth="1"/>
    <col min="12" max="12" width="19.140625" style="125" hidden="1" customWidth="1"/>
    <col min="13" max="13" width="15.00390625" style="125" hidden="1" customWidth="1"/>
    <col min="14" max="15" width="13.140625" style="125" customWidth="1"/>
    <col min="16" max="16" width="14.57421875" style="125" customWidth="1"/>
    <col min="17" max="17" width="14.00390625" style="125" hidden="1" customWidth="1"/>
    <col min="18" max="16384" width="9.140625" style="125" customWidth="1"/>
  </cols>
  <sheetData>
    <row r="1" spans="1:17" ht="22.5" customHeight="1">
      <c r="A1" s="241" t="s">
        <v>423</v>
      </c>
      <c r="B1" s="241"/>
      <c r="C1" s="241"/>
      <c r="D1" s="241"/>
      <c r="E1" s="241"/>
      <c r="F1" s="241"/>
      <c r="G1" s="241"/>
      <c r="H1" s="241"/>
      <c r="I1" s="241"/>
      <c r="J1" s="241"/>
      <c r="K1" s="241"/>
      <c r="L1" s="241"/>
      <c r="M1" s="241"/>
      <c r="N1" s="241"/>
      <c r="O1" s="241"/>
      <c r="P1" s="241"/>
      <c r="Q1" s="97"/>
    </row>
    <row r="2" spans="1:17" ht="19.5" customHeight="1">
      <c r="A2" s="234" t="str">
        <f>'Công trình'!A3</f>
        <v>CÔNG TRÌNH: ĐƯỜNG LÂM SINH XÃ HIỀN CHUNG, NAM ĐỘNG, PHÚ XUÂN, HUYỆN QUAN HÓA, TỈNH THANH HÓA</v>
      </c>
      <c r="B2" s="234"/>
      <c r="C2" s="234"/>
      <c r="D2" s="234"/>
      <c r="E2" s="234"/>
      <c r="F2" s="234"/>
      <c r="G2" s="234"/>
      <c r="H2" s="234"/>
      <c r="I2" s="234"/>
      <c r="J2" s="234"/>
      <c r="K2" s="234"/>
      <c r="L2" s="234"/>
      <c r="M2" s="234"/>
      <c r="N2" s="234"/>
      <c r="O2" s="234"/>
      <c r="P2" s="234"/>
      <c r="Q2" s="97"/>
    </row>
    <row r="3" spans="1:17" ht="18" customHeight="1">
      <c r="A3" s="240" t="str">
        <f>'Công trình'!A4</f>
        <v>HẠNG MỤC: XÃ HIỀN CHUNG</v>
      </c>
      <c r="B3" s="240"/>
      <c r="C3" s="240"/>
      <c r="D3" s="240"/>
      <c r="E3" s="240"/>
      <c r="F3" s="240"/>
      <c r="G3" s="240"/>
      <c r="H3" s="240"/>
      <c r="I3" s="240"/>
      <c r="J3" s="240"/>
      <c r="K3" s="240"/>
      <c r="L3" s="240"/>
      <c r="M3" s="240"/>
      <c r="N3" s="240"/>
      <c r="O3" s="240"/>
      <c r="P3" s="240"/>
      <c r="Q3" s="97"/>
    </row>
    <row r="4" spans="1:17" ht="16.5" customHeight="1">
      <c r="A4" s="74"/>
      <c r="B4" s="43"/>
      <c r="C4" s="97"/>
      <c r="D4" s="43"/>
      <c r="E4" s="43"/>
      <c r="F4" s="43"/>
      <c r="G4" s="43"/>
      <c r="H4" s="74"/>
      <c r="I4" s="97"/>
      <c r="J4" s="97"/>
      <c r="K4" s="97"/>
      <c r="L4" s="97"/>
      <c r="M4" s="127"/>
      <c r="N4" s="97"/>
      <c r="O4" s="233" t="s">
        <v>74</v>
      </c>
      <c r="P4" s="233"/>
      <c r="Q4" s="233"/>
    </row>
    <row r="5" spans="1:17" ht="18.75" customHeight="1">
      <c r="A5" s="53" t="s">
        <v>279</v>
      </c>
      <c r="B5" s="51" t="s">
        <v>285</v>
      </c>
      <c r="C5" s="7" t="s">
        <v>389</v>
      </c>
      <c r="D5" s="7" t="s">
        <v>0</v>
      </c>
      <c r="E5" s="7" t="s">
        <v>321</v>
      </c>
      <c r="F5" s="7" t="s">
        <v>51</v>
      </c>
      <c r="G5" s="7" t="s">
        <v>371</v>
      </c>
      <c r="H5" s="7" t="s">
        <v>486</v>
      </c>
      <c r="I5" s="7" t="s">
        <v>247</v>
      </c>
      <c r="J5" s="34" t="s">
        <v>73</v>
      </c>
      <c r="K5" s="92" t="s">
        <v>107</v>
      </c>
      <c r="L5" s="92" t="s">
        <v>295</v>
      </c>
      <c r="M5" s="7" t="s">
        <v>377</v>
      </c>
      <c r="N5" s="92" t="s">
        <v>384</v>
      </c>
      <c r="O5" s="92" t="s">
        <v>315</v>
      </c>
      <c r="P5" s="92" t="s">
        <v>305</v>
      </c>
      <c r="Q5" s="71" t="s">
        <v>313</v>
      </c>
    </row>
    <row r="6" spans="1:17" ht="15">
      <c r="A6" s="1">
        <v>1</v>
      </c>
      <c r="B6" s="124" t="s">
        <v>210</v>
      </c>
      <c r="C6" s="151">
        <v>1</v>
      </c>
      <c r="D6" s="118"/>
      <c r="E6" s="90" t="s">
        <v>171</v>
      </c>
      <c r="F6" s="90" t="s">
        <v>71</v>
      </c>
      <c r="G6" s="90" t="s">
        <v>71</v>
      </c>
      <c r="H6" s="119" t="s">
        <v>67</v>
      </c>
      <c r="I6" s="151"/>
      <c r="J6" s="13">
        <f>SUM(J7:J9)</f>
        <v>370.6211</v>
      </c>
      <c r="K6" s="86">
        <v>182895</v>
      </c>
      <c r="L6" s="86">
        <f>ROUND(J6*K6,0)</f>
        <v>67784746</v>
      </c>
      <c r="M6" s="27">
        <v>1</v>
      </c>
      <c r="N6" s="10">
        <f>'Lương nhân công'!G8</f>
        <v>195697</v>
      </c>
      <c r="O6" s="86">
        <f>N6-K6</f>
        <v>12802</v>
      </c>
      <c r="P6" s="86">
        <f>ROUND(J6*O6,0)</f>
        <v>4744691</v>
      </c>
      <c r="Q6" s="86">
        <f>ROUND(J6*N6,0)</f>
        <v>72529437</v>
      </c>
    </row>
    <row r="7" spans="1:17" ht="30" hidden="1">
      <c r="A7" s="30"/>
      <c r="B7" s="47" t="str">
        <f>'Công trình'!C11</f>
        <v>AB.11513</v>
      </c>
      <c r="C7" s="18"/>
      <c r="D7" s="147">
        <v>0</v>
      </c>
      <c r="E7" s="47" t="str">
        <f>'Công trình'!D11</f>
        <v>Đào rãnh đất bằng thủ công (3%KL) cấp III</v>
      </c>
      <c r="F7" s="109"/>
      <c r="G7" s="109"/>
      <c r="H7" s="146"/>
      <c r="I7" s="99">
        <v>1</v>
      </c>
      <c r="J7" s="121">
        <f>'Hao phí vật tư'!L20</f>
        <v>16.281</v>
      </c>
      <c r="K7" s="104"/>
      <c r="L7" s="38">
        <f>ROUND(J7*K6,2)</f>
        <v>2977713.5</v>
      </c>
      <c r="M7" s="131" t="str">
        <f>'Công trình'!X11</f>
        <v>TH_2021_QD_366_XD</v>
      </c>
      <c r="N7" s="104"/>
      <c r="O7" s="104"/>
      <c r="P7" s="38">
        <f>ROUND(J7*O6,2)</f>
        <v>208429.36</v>
      </c>
      <c r="Q7" s="38">
        <f>ROUND(J7*N6,2)</f>
        <v>3186142.86</v>
      </c>
    </row>
    <row r="8" spans="1:17" ht="30" hidden="1">
      <c r="A8" s="30"/>
      <c r="B8" s="47" t="str">
        <f>'Công trình'!C7</f>
        <v>AB.31123</v>
      </c>
      <c r="C8" s="18"/>
      <c r="D8" s="147">
        <v>0</v>
      </c>
      <c r="E8" s="47" t="str">
        <f>'Công trình'!D7</f>
        <v>Đào nền đường bằng máy đào 0,8m3 - Cấp đất III</v>
      </c>
      <c r="F8" s="109"/>
      <c r="G8" s="109"/>
      <c r="H8" s="146"/>
      <c r="I8" s="99">
        <v>1</v>
      </c>
      <c r="J8" s="121">
        <f>'Hao phí vật tư'!L9</f>
        <v>331.1351</v>
      </c>
      <c r="K8" s="104"/>
      <c r="L8" s="38">
        <f>ROUND(J8*K6,2)</f>
        <v>60562954.11</v>
      </c>
      <c r="M8" s="131" t="str">
        <f>'Công trình'!X7</f>
        <v>TH_2021_QD_366_XD</v>
      </c>
      <c r="N8" s="104"/>
      <c r="O8" s="104"/>
      <c r="P8" s="38">
        <f>ROUND(J8*O6,2)</f>
        <v>4239191.55</v>
      </c>
      <c r="Q8" s="38">
        <f>ROUND(J8*N6,2)</f>
        <v>64802145.66</v>
      </c>
    </row>
    <row r="9" spans="1:17" ht="30" hidden="1">
      <c r="A9" s="100"/>
      <c r="B9" s="115" t="str">
        <f>'Công trình'!C9</f>
        <v>AB.27113</v>
      </c>
      <c r="C9" s="93"/>
      <c r="D9" s="70">
        <v>0</v>
      </c>
      <c r="E9" s="115" t="str">
        <f>'Công trình'!D9</f>
        <v>Đào rãnh bằng máy thi công - Cấp đất III (95%KL)</v>
      </c>
      <c r="F9" s="40"/>
      <c r="G9" s="40"/>
      <c r="H9" s="69"/>
      <c r="I9" s="23">
        <v>1</v>
      </c>
      <c r="J9" s="48">
        <f>'Hao phí vật tư'!L15</f>
        <v>23.205</v>
      </c>
      <c r="K9" s="33"/>
      <c r="L9" s="107">
        <f>ROUND(J9*K6,2)</f>
        <v>4244078.48</v>
      </c>
      <c r="M9" s="58" t="str">
        <f>'Công trình'!X9</f>
        <v>TH_2021_QD_366_XD</v>
      </c>
      <c r="N9" s="33"/>
      <c r="O9" s="33"/>
      <c r="P9" s="107">
        <f>ROUND(J9*O6,2)</f>
        <v>297070.41</v>
      </c>
      <c r="Q9" s="107">
        <f>ROUND(J9*N6,2)</f>
        <v>4541148.89</v>
      </c>
    </row>
    <row r="10" spans="1:17" ht="15" hidden="1">
      <c r="A10" s="56"/>
      <c r="B10" s="137"/>
      <c r="C10" s="46"/>
      <c r="D10" s="137"/>
      <c r="E10" s="137" t="s">
        <v>121</v>
      </c>
      <c r="F10" s="137"/>
      <c r="G10" s="137"/>
      <c r="H10" s="12"/>
      <c r="I10" s="46"/>
      <c r="J10" s="67"/>
      <c r="K10" s="128"/>
      <c r="L10" s="128">
        <f>ROUND(SUMIF(D6:D9,"&gt;0",L6:L9),0)</f>
        <v>0</v>
      </c>
      <c r="M10" s="79"/>
      <c r="N10" s="128"/>
      <c r="O10" s="128"/>
      <c r="P10" s="128">
        <f>ROUND(SUMIF(D6:D9,"&gt;0",P6:P9),0)</f>
        <v>0</v>
      </c>
      <c r="Q10" s="128">
        <f>ROUND(SUMIF(D6:D9,"&gt;0",Q6:Q9),0)</f>
        <v>0</v>
      </c>
    </row>
    <row r="11" spans="1:17" ht="18" customHeight="1">
      <c r="A11" s="56"/>
      <c r="B11" s="137"/>
      <c r="C11" s="88"/>
      <c r="D11" s="63"/>
      <c r="E11" s="137" t="s">
        <v>467</v>
      </c>
      <c r="F11" s="35"/>
      <c r="G11" s="35"/>
      <c r="H11" s="12"/>
      <c r="I11" s="88"/>
      <c r="J11" s="67"/>
      <c r="K11" s="128"/>
      <c r="L11" s="128">
        <f>ROUND(SUMIF(C6:C9,"&gt;0",L6:L9),0)</f>
        <v>67784746</v>
      </c>
      <c r="M11" s="114"/>
      <c r="N11" s="128"/>
      <c r="O11" s="128"/>
      <c r="P11" s="128">
        <f>ROUND(SUMIF(C6:C9,"&gt;0",P6:P9),0)</f>
        <v>4744691</v>
      </c>
      <c r="Q11" s="128">
        <f>ROUND(SUMIF(C6:C9,"&gt;0",Q6:Q9),0)</f>
        <v>72529437</v>
      </c>
    </row>
    <row r="12" spans="1:17" ht="16.5" customHeight="1">
      <c r="A12" s="74"/>
      <c r="B12" s="43"/>
      <c r="C12" s="97"/>
      <c r="D12" s="43"/>
      <c r="E12" s="43"/>
      <c r="F12" s="43"/>
      <c r="G12" s="43"/>
      <c r="H12" s="74"/>
      <c r="I12" s="97"/>
      <c r="J12" s="97"/>
      <c r="K12" s="97"/>
      <c r="L12" s="97"/>
      <c r="M12" s="127"/>
      <c r="N12" s="97"/>
      <c r="O12" s="97"/>
      <c r="P12" s="97"/>
      <c r="Q12" s="97"/>
    </row>
  </sheetData>
  <sheetProtection/>
  <mergeCells count="4">
    <mergeCell ref="A1:P1"/>
    <mergeCell ref="A2:P2"/>
    <mergeCell ref="A3:P3"/>
    <mergeCell ref="O4:Q4"/>
  </mergeCells>
  <printOptions horizontalCentered="1"/>
  <pageMargins left="0.3" right="0.2" top="0.75" bottom="0.75" header="0.3" footer="0.3"/>
  <pageSetup horizontalDpi="600" verticalDpi="600" orientation="landscape" paperSize="9" r:id="rId1"/>
  <headerFooter alignWithMargins="0">
    <oddHeader>&amp;L&amp;BDự toán F1</oddHeader>
  </headerFooter>
</worksheet>
</file>

<file path=xl/worksheets/sheet6.xml><?xml version="1.0" encoding="utf-8"?>
<worksheet xmlns="http://schemas.openxmlformats.org/spreadsheetml/2006/main" xmlns:r="http://schemas.openxmlformats.org/officeDocument/2006/relationships">
  <sheetPr>
    <tabColor theme="0"/>
  </sheetPr>
  <dimension ref="A1:Q12"/>
  <sheetViews>
    <sheetView showZeros="0" zoomScalePageLayoutView="0" workbookViewId="0" topLeftCell="A1">
      <selection activeCell="P6" sqref="P6"/>
    </sheetView>
  </sheetViews>
  <sheetFormatPr defaultColWidth="9.140625" defaultRowHeight="15"/>
  <cols>
    <col min="1" max="1" width="7.140625" style="125" customWidth="1"/>
    <col min="2" max="2" width="11.8515625" style="125" hidden="1" customWidth="1"/>
    <col min="3" max="3" width="11.140625" style="125" hidden="1" customWidth="1"/>
    <col min="4" max="4" width="34.140625" style="125" customWidth="1"/>
    <col min="5" max="5" width="9.140625" style="125" customWidth="1"/>
    <col min="6" max="6" width="9.00390625" style="125" hidden="1" customWidth="1"/>
    <col min="7" max="7" width="13.421875" style="125" customWidth="1"/>
    <col min="8" max="8" width="14.140625" style="125" customWidth="1"/>
    <col min="9" max="9" width="19.140625" style="125" hidden="1" customWidth="1"/>
    <col min="10" max="10" width="15.00390625" style="125" hidden="1" customWidth="1"/>
    <col min="11" max="11" width="14.8515625" style="125" customWidth="1"/>
    <col min="12" max="12" width="25.00390625" style="125" hidden="1" customWidth="1"/>
    <col min="13" max="13" width="14.57421875" style="125" hidden="1" customWidth="1"/>
    <col min="14" max="14" width="14.00390625" style="125" customWidth="1"/>
    <col min="15" max="15" width="13.28125" style="125" customWidth="1"/>
    <col min="16" max="16" width="14.421875" style="125" customWidth="1"/>
    <col min="17" max="17" width="14.421875" style="125" hidden="1" customWidth="1"/>
    <col min="18" max="16384" width="9.140625" style="125" customWidth="1"/>
  </cols>
  <sheetData>
    <row r="1" spans="1:17" ht="22.5" customHeight="1">
      <c r="A1" s="241" t="s">
        <v>150</v>
      </c>
      <c r="B1" s="241"/>
      <c r="C1" s="241"/>
      <c r="D1" s="241"/>
      <c r="E1" s="241"/>
      <c r="F1" s="241"/>
      <c r="G1" s="241"/>
      <c r="H1" s="241"/>
      <c r="I1" s="241"/>
      <c r="J1" s="241"/>
      <c r="K1" s="241"/>
      <c r="L1" s="241"/>
      <c r="M1" s="241"/>
      <c r="N1" s="241"/>
      <c r="O1" s="241"/>
      <c r="P1" s="241"/>
      <c r="Q1" s="241"/>
    </row>
    <row r="2" spans="1:17" ht="19.5" customHeight="1">
      <c r="A2" s="234" t="str">
        <f>'Công trình'!A3</f>
        <v>CÔNG TRÌNH: ĐƯỜNG LÂM SINH XÃ HIỀN CHUNG, NAM ĐỘNG, PHÚ XUÂN, HUYỆN QUAN HÓA, TỈNH THANH HÓA</v>
      </c>
      <c r="B2" s="234"/>
      <c r="C2" s="234"/>
      <c r="D2" s="234"/>
      <c r="E2" s="234"/>
      <c r="F2" s="234"/>
      <c r="G2" s="234"/>
      <c r="H2" s="234"/>
      <c r="I2" s="234"/>
      <c r="J2" s="234"/>
      <c r="K2" s="234"/>
      <c r="L2" s="234"/>
      <c r="M2" s="234"/>
      <c r="N2" s="234"/>
      <c r="O2" s="234"/>
      <c r="P2" s="234"/>
      <c r="Q2" s="234"/>
    </row>
    <row r="3" spans="1:17" ht="18" customHeight="1">
      <c r="A3" s="240" t="str">
        <f>'Công trình'!A4</f>
        <v>HẠNG MỤC: XÃ HIỀN CHUNG</v>
      </c>
      <c r="B3" s="240"/>
      <c r="C3" s="240"/>
      <c r="D3" s="240"/>
      <c r="E3" s="240"/>
      <c r="F3" s="240"/>
      <c r="G3" s="240"/>
      <c r="H3" s="240"/>
      <c r="I3" s="240"/>
      <c r="J3" s="240"/>
      <c r="K3" s="240"/>
      <c r="L3" s="240"/>
      <c r="M3" s="240"/>
      <c r="N3" s="240"/>
      <c r="O3" s="240"/>
      <c r="P3" s="240"/>
      <c r="Q3" s="240"/>
    </row>
    <row r="4" spans="1:17" ht="16.5" customHeight="1">
      <c r="A4" s="74"/>
      <c r="B4" s="43"/>
      <c r="C4" s="97"/>
      <c r="D4" s="43"/>
      <c r="E4" s="74"/>
      <c r="F4" s="97"/>
      <c r="G4" s="97"/>
      <c r="H4" s="97"/>
      <c r="I4" s="97"/>
      <c r="J4" s="97"/>
      <c r="K4" s="97"/>
      <c r="L4" s="97"/>
      <c r="M4" s="97"/>
      <c r="N4" s="97"/>
      <c r="O4" s="233" t="s">
        <v>74</v>
      </c>
      <c r="P4" s="233"/>
      <c r="Q4" s="233"/>
    </row>
    <row r="5" spans="1:17" ht="18.75" customHeight="1">
      <c r="A5" s="17" t="s">
        <v>279</v>
      </c>
      <c r="B5" s="14" t="s">
        <v>285</v>
      </c>
      <c r="C5" s="7" t="s">
        <v>389</v>
      </c>
      <c r="D5" s="134" t="s">
        <v>321</v>
      </c>
      <c r="E5" s="134" t="s">
        <v>486</v>
      </c>
      <c r="F5" s="7" t="s">
        <v>247</v>
      </c>
      <c r="G5" s="154" t="s">
        <v>73</v>
      </c>
      <c r="H5" s="71" t="s">
        <v>107</v>
      </c>
      <c r="I5" s="92" t="s">
        <v>295</v>
      </c>
      <c r="J5" s="8" t="s">
        <v>377</v>
      </c>
      <c r="K5" s="71" t="s">
        <v>213</v>
      </c>
      <c r="L5" s="92" t="s">
        <v>437</v>
      </c>
      <c r="M5" s="71" t="s">
        <v>319</v>
      </c>
      <c r="N5" s="71" t="s">
        <v>384</v>
      </c>
      <c r="O5" s="71" t="s">
        <v>315</v>
      </c>
      <c r="P5" s="71" t="s">
        <v>305</v>
      </c>
      <c r="Q5" s="71" t="s">
        <v>313</v>
      </c>
    </row>
    <row r="6" spans="1:17" ht="30">
      <c r="A6" s="1">
        <v>1</v>
      </c>
      <c r="B6" s="124" t="s">
        <v>421</v>
      </c>
      <c r="C6" s="151">
        <v>2</v>
      </c>
      <c r="D6" s="90" t="s">
        <v>22</v>
      </c>
      <c r="E6" s="119" t="s">
        <v>380</v>
      </c>
      <c r="F6" s="151"/>
      <c r="G6" s="13">
        <f>SUM(G7:G8)</f>
        <v>37.936600000000006</v>
      </c>
      <c r="H6" s="86">
        <v>1767988</v>
      </c>
      <c r="I6" s="86">
        <f>ROUND(G6*H6,0)</f>
        <v>67071454</v>
      </c>
      <c r="J6" s="151">
        <v>1</v>
      </c>
      <c r="K6" s="86">
        <f>'Tổng hợp VL,NC,M'!K12</f>
        <v>1767988</v>
      </c>
      <c r="L6" s="86">
        <f>ROUND(G6*K6,0)</f>
        <v>67071454</v>
      </c>
      <c r="M6" s="86"/>
      <c r="N6" s="10">
        <f>'Tính giá ca máy'!R11</f>
        <v>2117804</v>
      </c>
      <c r="O6" s="86">
        <f>N6-H6</f>
        <v>349816</v>
      </c>
      <c r="P6" s="86">
        <f>ROUND(G6*O6,0)</f>
        <v>13270830</v>
      </c>
      <c r="Q6" s="86">
        <f>ROUND(G6*N6,0)</f>
        <v>80342283</v>
      </c>
    </row>
    <row r="7" spans="1:17" ht="30" hidden="1">
      <c r="A7" s="30"/>
      <c r="B7" s="47" t="str">
        <f>'Công trình'!C7</f>
        <v>AB.31123</v>
      </c>
      <c r="C7" s="18"/>
      <c r="D7" s="47" t="str">
        <f>'Công trình'!D7</f>
        <v>Đào nền đường bằng máy đào 0,8m3 - Cấp đất III</v>
      </c>
      <c r="E7" s="146"/>
      <c r="F7" s="99">
        <v>1</v>
      </c>
      <c r="G7" s="121">
        <f>'Hao phí vật tư'!M12</f>
        <v>35.8462</v>
      </c>
      <c r="H7" s="104"/>
      <c r="I7" s="38">
        <f>ROUND(G7*H6,2)</f>
        <v>63375651.45</v>
      </c>
      <c r="J7" s="99" t="str">
        <f>'Công trình'!X7</f>
        <v>TH_2021_QD_366_XD</v>
      </c>
      <c r="K7" s="104"/>
      <c r="L7" s="38">
        <f>ROUND(G7*K6,2)</f>
        <v>63375651.45</v>
      </c>
      <c r="M7" s="104"/>
      <c r="N7" s="104"/>
      <c r="O7" s="104"/>
      <c r="P7" s="38">
        <f>ROUND(G7*O6,2)</f>
        <v>12539574.3</v>
      </c>
      <c r="Q7" s="38">
        <f>ROUND(G7*N6,2)</f>
        <v>75915225.74</v>
      </c>
    </row>
    <row r="8" spans="1:17" ht="30" hidden="1">
      <c r="A8" s="30"/>
      <c r="B8" s="47" t="str">
        <f>'Công trình'!C9</f>
        <v>AB.27113</v>
      </c>
      <c r="C8" s="18"/>
      <c r="D8" s="47" t="str">
        <f>'Công trình'!D9</f>
        <v>Đào rãnh bằng máy thi công - Cấp đất III (95%KL)</v>
      </c>
      <c r="E8" s="146"/>
      <c r="F8" s="99">
        <v>1</v>
      </c>
      <c r="G8" s="121">
        <f>'Hao phí vật tư'!M17</f>
        <v>2.0904</v>
      </c>
      <c r="H8" s="104"/>
      <c r="I8" s="38">
        <f>ROUND(G8*H6,2)</f>
        <v>3695802.12</v>
      </c>
      <c r="J8" s="99" t="str">
        <f>'Công trình'!X9</f>
        <v>TH_2021_QD_366_XD</v>
      </c>
      <c r="K8" s="104"/>
      <c r="L8" s="38">
        <f>ROUND(G8*K6,2)</f>
        <v>3695802.12</v>
      </c>
      <c r="M8" s="104"/>
      <c r="N8" s="104"/>
      <c r="O8" s="104"/>
      <c r="P8" s="38">
        <f>ROUND(G8*O6,2)</f>
        <v>731255.37</v>
      </c>
      <c r="Q8" s="38">
        <f>ROUND(G8*N6,2)</f>
        <v>4427057.48</v>
      </c>
    </row>
    <row r="9" spans="1:17" ht="15">
      <c r="A9" s="30">
        <v>2</v>
      </c>
      <c r="B9" s="153" t="s">
        <v>153</v>
      </c>
      <c r="C9" s="18">
        <v>3</v>
      </c>
      <c r="D9" s="109" t="s">
        <v>312</v>
      </c>
      <c r="E9" s="146" t="s">
        <v>380</v>
      </c>
      <c r="F9" s="18"/>
      <c r="G9" s="42">
        <f>SUM(G10:G10)</f>
        <v>4.6616</v>
      </c>
      <c r="H9" s="104">
        <v>1412545</v>
      </c>
      <c r="I9" s="104">
        <f>ROUND(G9*H9,0)</f>
        <v>6584720</v>
      </c>
      <c r="J9" s="18">
        <v>1</v>
      </c>
      <c r="K9" s="104">
        <f>'Tổng hợp VL,NC,M'!K15</f>
        <v>1412545</v>
      </c>
      <c r="L9" s="104">
        <f>ROUND(G9*K9,0)</f>
        <v>6584720</v>
      </c>
      <c r="M9" s="104"/>
      <c r="N9" s="38">
        <f>'Tính giá ca máy'!R12</f>
        <v>1664867</v>
      </c>
      <c r="O9" s="104">
        <f>N9-H9</f>
        <v>252322</v>
      </c>
      <c r="P9" s="104">
        <f>ROUND(G9*O9,0)</f>
        <v>1176224</v>
      </c>
      <c r="Q9" s="104">
        <f>ROUND(G9*N9,0)</f>
        <v>7760944</v>
      </c>
    </row>
    <row r="10" spans="1:17" ht="30" hidden="1">
      <c r="A10" s="100"/>
      <c r="B10" s="115" t="str">
        <f>'Công trình'!C7</f>
        <v>AB.31123</v>
      </c>
      <c r="C10" s="93"/>
      <c r="D10" s="115" t="str">
        <f>'Công trình'!D7</f>
        <v>Đào nền đường bằng máy đào 0,8m3 - Cấp đất III</v>
      </c>
      <c r="E10" s="69"/>
      <c r="F10" s="23">
        <v>1</v>
      </c>
      <c r="G10" s="48">
        <f>'Hao phí vật tư'!M11</f>
        <v>4.6616</v>
      </c>
      <c r="H10" s="33"/>
      <c r="I10" s="107">
        <f>ROUND(G10*H9,2)</f>
        <v>6584719.77</v>
      </c>
      <c r="J10" s="23" t="str">
        <f>'Công trình'!X7</f>
        <v>TH_2021_QD_366_XD</v>
      </c>
      <c r="K10" s="33"/>
      <c r="L10" s="107">
        <f>ROUND(G10*K9,2)</f>
        <v>6584719.77</v>
      </c>
      <c r="M10" s="33"/>
      <c r="N10" s="33"/>
      <c r="O10" s="33"/>
      <c r="P10" s="107">
        <f>ROUND(G10*O9,2)</f>
        <v>1176224.24</v>
      </c>
      <c r="Q10" s="107">
        <f>ROUND(G10*N9,2)</f>
        <v>7760944.01</v>
      </c>
    </row>
    <row r="11" spans="1:17" ht="18" customHeight="1">
      <c r="A11" s="56"/>
      <c r="B11" s="137"/>
      <c r="C11" s="88"/>
      <c r="D11" s="137" t="s">
        <v>263</v>
      </c>
      <c r="E11" s="12"/>
      <c r="F11" s="88"/>
      <c r="G11" s="67"/>
      <c r="H11" s="128"/>
      <c r="I11" s="128">
        <f>ROUND(SUMIF(C6:C10,"&gt;0",I6:I10),0)</f>
        <v>73656174</v>
      </c>
      <c r="J11" s="88"/>
      <c r="K11" s="19"/>
      <c r="L11" s="128">
        <f>ROUND(SUMIF(C6:C10,"&gt;0",L6:L10),0)</f>
        <v>73656174</v>
      </c>
      <c r="M11" s="128"/>
      <c r="N11" s="128"/>
      <c r="O11" s="128"/>
      <c r="P11" s="128">
        <f>ROUND(SUMIF(C6:C10,"&gt;0",P6:P10),0)</f>
        <v>14447054</v>
      </c>
      <c r="Q11" s="128">
        <f>ROUND(SUMIF(C6:C10,"&gt;0",Q6:Q10),0)</f>
        <v>88103227</v>
      </c>
    </row>
    <row r="12" spans="1:17" ht="16.5" customHeight="1">
      <c r="A12" s="74"/>
      <c r="B12" s="43"/>
      <c r="C12" s="97"/>
      <c r="D12" s="43"/>
      <c r="E12" s="74"/>
      <c r="F12" s="97"/>
      <c r="G12" s="97"/>
      <c r="H12" s="97"/>
      <c r="I12" s="97"/>
      <c r="J12" s="97"/>
      <c r="K12" s="97"/>
      <c r="L12" s="97"/>
      <c r="M12" s="97"/>
      <c r="N12" s="97"/>
      <c r="O12" s="97"/>
      <c r="P12" s="97"/>
      <c r="Q12" s="97"/>
    </row>
  </sheetData>
  <sheetProtection/>
  <mergeCells count="4">
    <mergeCell ref="A1:Q1"/>
    <mergeCell ref="A2:Q2"/>
    <mergeCell ref="A3:Q3"/>
    <mergeCell ref="O4:Q4"/>
  </mergeCells>
  <printOptions horizontalCentered="1"/>
  <pageMargins left="0.3" right="0.2" top="0.75" bottom="0.75" header="0.3" footer="0.3"/>
  <pageSetup horizontalDpi="600" verticalDpi="600" orientation="landscape" paperSize="9" r:id="rId1"/>
  <headerFooter alignWithMargins="0">
    <oddHeader>&amp;L&amp;BDự toán F1</oddHeader>
  </headerFooter>
</worksheet>
</file>

<file path=xl/worksheets/sheet7.xml><?xml version="1.0" encoding="utf-8"?>
<worksheet xmlns="http://schemas.openxmlformats.org/spreadsheetml/2006/main" xmlns:r="http://schemas.openxmlformats.org/officeDocument/2006/relationships">
  <dimension ref="A1:M21"/>
  <sheetViews>
    <sheetView showZeros="0" zoomScalePageLayoutView="0" workbookViewId="0" topLeftCell="A1">
      <selection activeCell="A1" sqref="A1:M1"/>
    </sheetView>
  </sheetViews>
  <sheetFormatPr defaultColWidth="9.140625" defaultRowHeight="15"/>
  <cols>
    <col min="1" max="1" width="6.57421875" style="125" customWidth="1"/>
    <col min="2" max="2" width="11.140625" style="125" customWidth="1"/>
    <col min="3" max="3" width="11.140625" style="125" hidden="1" customWidth="1"/>
    <col min="4" max="4" width="46.28125" style="125" customWidth="1"/>
    <col min="5" max="5" width="8.57421875" style="125" customWidth="1"/>
    <col min="6" max="6" width="7.421875" style="125" customWidth="1"/>
    <col min="7" max="7" width="10.7109375" style="125" customWidth="1"/>
    <col min="8" max="8" width="11.8515625" style="125" customWidth="1"/>
    <col min="9" max="9" width="14.140625" style="125" customWidth="1"/>
    <col min="10" max="10" width="9.00390625" style="125" customWidth="1"/>
    <col min="11" max="11" width="10.7109375" style="125" customWidth="1"/>
    <col min="12" max="12" width="11.8515625" style="125" customWidth="1"/>
    <col min="13" max="13" width="14.140625" style="125" customWidth="1"/>
    <col min="14" max="16384" width="9.140625" style="125" customWidth="1"/>
  </cols>
  <sheetData>
    <row r="1" spans="1:13" ht="22.5" customHeight="1">
      <c r="A1" s="241" t="s">
        <v>167</v>
      </c>
      <c r="B1" s="241"/>
      <c r="C1" s="241"/>
      <c r="D1" s="241"/>
      <c r="E1" s="241"/>
      <c r="F1" s="241"/>
      <c r="G1" s="241"/>
      <c r="H1" s="241"/>
      <c r="I1" s="241"/>
      <c r="J1" s="241"/>
      <c r="K1" s="241"/>
      <c r="L1" s="241"/>
      <c r="M1" s="241"/>
    </row>
    <row r="2" spans="1:13" ht="19.5" customHeight="1">
      <c r="A2" s="234" t="str">
        <f>'Công trình'!A3</f>
        <v>CÔNG TRÌNH: ĐƯỜNG LÂM SINH XÃ HIỀN CHUNG, NAM ĐỘNG, PHÚ XUÂN, HUYỆN QUAN HÓA, TỈNH THANH HÓA</v>
      </c>
      <c r="B2" s="234"/>
      <c r="C2" s="234"/>
      <c r="D2" s="234"/>
      <c r="E2" s="234"/>
      <c r="F2" s="234"/>
      <c r="G2" s="234"/>
      <c r="H2" s="234"/>
      <c r="I2" s="234"/>
      <c r="J2" s="234"/>
      <c r="K2" s="234"/>
      <c r="L2" s="234"/>
      <c r="M2" s="234"/>
    </row>
    <row r="3" spans="1:13" ht="18" customHeight="1">
      <c r="A3" s="240" t="str">
        <f>'Công trình'!A4</f>
        <v>HẠNG MỤC: XÃ HIỀN CHUNG</v>
      </c>
      <c r="B3" s="240"/>
      <c r="C3" s="240"/>
      <c r="D3" s="240"/>
      <c r="E3" s="240"/>
      <c r="F3" s="240"/>
      <c r="G3" s="240"/>
      <c r="H3" s="240"/>
      <c r="I3" s="240"/>
      <c r="J3" s="240"/>
      <c r="K3" s="240"/>
      <c r="L3" s="240"/>
      <c r="M3" s="240"/>
    </row>
    <row r="4" spans="1:13" ht="16.5" customHeight="1">
      <c r="A4" s="74"/>
      <c r="B4" s="43"/>
      <c r="C4" s="97"/>
      <c r="D4" s="43"/>
      <c r="E4" s="74"/>
      <c r="F4" s="97"/>
      <c r="G4" s="97"/>
      <c r="H4" s="97"/>
      <c r="I4" s="97"/>
      <c r="J4" s="97"/>
      <c r="K4" s="97"/>
      <c r="L4" s="97"/>
      <c r="M4" s="97"/>
    </row>
    <row r="5" spans="1:13" ht="16.5" customHeight="1">
      <c r="A5" s="254" t="s">
        <v>279</v>
      </c>
      <c r="B5" s="255" t="s">
        <v>285</v>
      </c>
      <c r="C5" s="248" t="s">
        <v>389</v>
      </c>
      <c r="D5" s="248" t="s">
        <v>231</v>
      </c>
      <c r="E5" s="248" t="s">
        <v>486</v>
      </c>
      <c r="F5" s="253" t="s">
        <v>73</v>
      </c>
      <c r="G5" s="253" t="s">
        <v>145</v>
      </c>
      <c r="H5" s="253"/>
      <c r="I5" s="253"/>
      <c r="J5" s="248" t="s">
        <v>400</v>
      </c>
      <c r="K5" s="253" t="s">
        <v>70</v>
      </c>
      <c r="L5" s="253"/>
      <c r="M5" s="253"/>
    </row>
    <row r="6" spans="1:13" ht="16.5" customHeight="1">
      <c r="A6" s="254"/>
      <c r="B6" s="255"/>
      <c r="C6" s="248"/>
      <c r="D6" s="248"/>
      <c r="E6" s="248"/>
      <c r="F6" s="253"/>
      <c r="G6" s="34" t="s">
        <v>125</v>
      </c>
      <c r="H6" s="34" t="s">
        <v>59</v>
      </c>
      <c r="I6" s="34" t="s">
        <v>192</v>
      </c>
      <c r="J6" s="248"/>
      <c r="K6" s="34" t="s">
        <v>125</v>
      </c>
      <c r="L6" s="34" t="s">
        <v>59</v>
      </c>
      <c r="M6" s="34" t="s">
        <v>192</v>
      </c>
    </row>
    <row r="7" spans="1:13" ht="28.5">
      <c r="A7" s="1">
        <f>'Công trình'!A7</f>
        <v>1</v>
      </c>
      <c r="B7" s="126" t="str">
        <f>'Công trình'!C7</f>
        <v>AB.31123</v>
      </c>
      <c r="C7" s="151"/>
      <c r="D7" s="126" t="str">
        <f>'Công trình'!D7</f>
        <v>Đào nền đường bằng máy đào 0,8m3 - Cấp đất III</v>
      </c>
      <c r="E7" s="2" t="str">
        <f>'Công trình'!E7</f>
        <v>100m3</v>
      </c>
      <c r="F7" s="57">
        <f>'Công trình'!L7</f>
        <v>80.3726</v>
      </c>
      <c r="G7" s="13"/>
      <c r="H7" s="13"/>
      <c r="I7" s="13"/>
      <c r="J7" s="151"/>
      <c r="K7" s="13"/>
      <c r="L7" s="13"/>
      <c r="M7" s="13"/>
    </row>
    <row r="8" spans="1:13" ht="15">
      <c r="A8" s="29"/>
      <c r="B8" s="112"/>
      <c r="C8" s="21"/>
      <c r="D8" s="112" t="s">
        <v>59</v>
      </c>
      <c r="E8" s="145"/>
      <c r="F8" s="44"/>
      <c r="G8" s="44"/>
      <c r="H8" s="44"/>
      <c r="I8" s="44"/>
      <c r="J8" s="21"/>
      <c r="K8" s="44"/>
      <c r="L8" s="44"/>
      <c r="M8" s="44"/>
    </row>
    <row r="9" spans="1:13" ht="15">
      <c r="A9" s="30"/>
      <c r="B9" s="109" t="str">
        <f>'Nhân công'!B6</f>
        <v>N0006</v>
      </c>
      <c r="C9" s="18">
        <v>1</v>
      </c>
      <c r="D9" s="109" t="s">
        <v>330</v>
      </c>
      <c r="E9" s="146" t="str">
        <f>'Nhân công'!H6</f>
        <v>công</v>
      </c>
      <c r="F9" s="42"/>
      <c r="G9" s="42"/>
      <c r="H9" s="42">
        <v>4.12</v>
      </c>
      <c r="I9" s="42"/>
      <c r="J9" s="18">
        <v>1</v>
      </c>
      <c r="K9" s="42"/>
      <c r="L9" s="42">
        <f>ROUND(F7*H9*J9,4)</f>
        <v>331.1351</v>
      </c>
      <c r="M9" s="42"/>
    </row>
    <row r="10" spans="1:13" ht="15">
      <c r="A10" s="29"/>
      <c r="B10" s="112"/>
      <c r="C10" s="21"/>
      <c r="D10" s="112" t="s">
        <v>192</v>
      </c>
      <c r="E10" s="145"/>
      <c r="F10" s="44"/>
      <c r="G10" s="44"/>
      <c r="H10" s="44"/>
      <c r="I10" s="44"/>
      <c r="J10" s="21"/>
      <c r="K10" s="44"/>
      <c r="L10" s="44"/>
      <c r="M10" s="44"/>
    </row>
    <row r="11" spans="1:13" ht="15">
      <c r="A11" s="30"/>
      <c r="B11" s="109" t="str">
        <f>'Máy thi công'!B9</f>
        <v>M101.0502</v>
      </c>
      <c r="C11" s="18">
        <v>3</v>
      </c>
      <c r="D11" s="109" t="str">
        <f>" - "&amp;'Máy thi công'!D9</f>
        <v> - Máy ủi - công suất: 110 CV</v>
      </c>
      <c r="E11" s="146" t="str">
        <f>'Máy thi công'!E9</f>
        <v>ca</v>
      </c>
      <c r="F11" s="42"/>
      <c r="G11" s="42"/>
      <c r="H11" s="42"/>
      <c r="I11" s="42">
        <v>0.058</v>
      </c>
      <c r="J11" s="18">
        <v>1</v>
      </c>
      <c r="K11" s="42"/>
      <c r="L11" s="42"/>
      <c r="M11" s="42">
        <f>ROUND(F7*I11*J11,4)</f>
        <v>4.6616</v>
      </c>
    </row>
    <row r="12" spans="1:13" ht="30">
      <c r="A12" s="30"/>
      <c r="B12" s="109" t="str">
        <f>'Máy thi công'!B6</f>
        <v>M101.0104</v>
      </c>
      <c r="C12" s="18">
        <v>2</v>
      </c>
      <c r="D12" s="109" t="str">
        <f>" - "&amp;'Máy thi công'!D6</f>
        <v> - Máy đào một gầu, bánh xích -  dung tích gầu: 0,80 m3</v>
      </c>
      <c r="E12" s="146" t="str">
        <f>'Máy thi công'!E6</f>
        <v>ca</v>
      </c>
      <c r="F12" s="42"/>
      <c r="G12" s="42"/>
      <c r="H12" s="42"/>
      <c r="I12" s="42">
        <v>0.446</v>
      </c>
      <c r="J12" s="18">
        <v>1</v>
      </c>
      <c r="K12" s="42"/>
      <c r="L12" s="42"/>
      <c r="M12" s="42">
        <f>ROUND(F7*I12*J12,4)</f>
        <v>35.8462</v>
      </c>
    </row>
    <row r="13" spans="1:13" ht="28.5">
      <c r="A13" s="1">
        <f>'Công trình'!A9</f>
        <v>2</v>
      </c>
      <c r="B13" s="126" t="str">
        <f>'Công trình'!C9</f>
        <v>AB.27113</v>
      </c>
      <c r="C13" s="151"/>
      <c r="D13" s="126" t="str">
        <f>'Công trình'!D9</f>
        <v>Đào rãnh bằng máy thi công - Cấp đất III (95%KL)</v>
      </c>
      <c r="E13" s="2" t="str">
        <f>'Công trình'!E9</f>
        <v>100m3</v>
      </c>
      <c r="F13" s="57">
        <f>'Công trình'!L9</f>
        <v>3.9</v>
      </c>
      <c r="G13" s="13"/>
      <c r="H13" s="13"/>
      <c r="I13" s="13"/>
      <c r="J13" s="151"/>
      <c r="K13" s="13"/>
      <c r="L13" s="13"/>
      <c r="M13" s="13"/>
    </row>
    <row r="14" spans="1:13" ht="15">
      <c r="A14" s="29"/>
      <c r="B14" s="112"/>
      <c r="C14" s="21"/>
      <c r="D14" s="112" t="s">
        <v>59</v>
      </c>
      <c r="E14" s="145"/>
      <c r="F14" s="44"/>
      <c r="G14" s="44"/>
      <c r="H14" s="44"/>
      <c r="I14" s="44"/>
      <c r="J14" s="21"/>
      <c r="K14" s="44"/>
      <c r="L14" s="44"/>
      <c r="M14" s="44"/>
    </row>
    <row r="15" spans="1:13" ht="15">
      <c r="A15" s="30"/>
      <c r="B15" s="109" t="str">
        <f>'Nhân công'!B6</f>
        <v>N0006</v>
      </c>
      <c r="C15" s="18">
        <v>1</v>
      </c>
      <c r="D15" s="109" t="s">
        <v>330</v>
      </c>
      <c r="E15" s="146" t="str">
        <f>'Nhân công'!H6</f>
        <v>công</v>
      </c>
      <c r="F15" s="42"/>
      <c r="G15" s="42"/>
      <c r="H15" s="42">
        <v>5.95</v>
      </c>
      <c r="I15" s="42"/>
      <c r="J15" s="18">
        <v>1</v>
      </c>
      <c r="K15" s="42"/>
      <c r="L15" s="42">
        <f>ROUND(F13*H15*J15,4)</f>
        <v>23.205</v>
      </c>
      <c r="M15" s="42"/>
    </row>
    <row r="16" spans="1:13" ht="15">
      <c r="A16" s="29"/>
      <c r="B16" s="112"/>
      <c r="C16" s="21"/>
      <c r="D16" s="112" t="s">
        <v>192</v>
      </c>
      <c r="E16" s="145"/>
      <c r="F16" s="44"/>
      <c r="G16" s="44"/>
      <c r="H16" s="44"/>
      <c r="I16" s="44"/>
      <c r="J16" s="21"/>
      <c r="K16" s="44"/>
      <c r="L16" s="44"/>
      <c r="M16" s="44"/>
    </row>
    <row r="17" spans="1:13" ht="30">
      <c r="A17" s="30"/>
      <c r="B17" s="109" t="str">
        <f>'Máy thi công'!B6</f>
        <v>M101.0104</v>
      </c>
      <c r="C17" s="18">
        <v>2</v>
      </c>
      <c r="D17" s="109" t="str">
        <f>" - "&amp;'Máy thi công'!D6</f>
        <v> - Máy đào một gầu, bánh xích -  dung tích gầu: 0,80 m3</v>
      </c>
      <c r="E17" s="146" t="str">
        <f>'Máy thi công'!E6</f>
        <v>ca</v>
      </c>
      <c r="F17" s="42"/>
      <c r="G17" s="42"/>
      <c r="H17" s="42"/>
      <c r="I17" s="42">
        <v>0.536</v>
      </c>
      <c r="J17" s="18">
        <v>1</v>
      </c>
      <c r="K17" s="42"/>
      <c r="L17" s="42"/>
      <c r="M17" s="42">
        <f>ROUND(F13*I17*J17,4)</f>
        <v>2.0904</v>
      </c>
    </row>
    <row r="18" spans="1:13" ht="15">
      <c r="A18" s="1">
        <f>'Công trình'!A11</f>
        <v>3</v>
      </c>
      <c r="B18" s="126" t="str">
        <f>'Công trình'!C11</f>
        <v>AB.11513</v>
      </c>
      <c r="C18" s="151"/>
      <c r="D18" s="126" t="str">
        <f>'Công trình'!D11</f>
        <v>Đào rãnh đất bằng thủ công (3%KL) cấp III</v>
      </c>
      <c r="E18" s="2" t="str">
        <f>'Công trình'!E11</f>
        <v>m3</v>
      </c>
      <c r="F18" s="57">
        <f>'Công trình'!L11</f>
        <v>12.06</v>
      </c>
      <c r="G18" s="13"/>
      <c r="H18" s="13"/>
      <c r="I18" s="13"/>
      <c r="J18" s="151"/>
      <c r="K18" s="13"/>
      <c r="L18" s="13"/>
      <c r="M18" s="13"/>
    </row>
    <row r="19" spans="1:13" ht="15">
      <c r="A19" s="29"/>
      <c r="B19" s="112"/>
      <c r="C19" s="21"/>
      <c r="D19" s="112" t="s">
        <v>59</v>
      </c>
      <c r="E19" s="145"/>
      <c r="F19" s="44"/>
      <c r="G19" s="44"/>
      <c r="H19" s="44"/>
      <c r="I19" s="44"/>
      <c r="J19" s="21"/>
      <c r="K19" s="44"/>
      <c r="L19" s="44"/>
      <c r="M19" s="44"/>
    </row>
    <row r="20" spans="1:13" ht="15">
      <c r="A20" s="100"/>
      <c r="B20" s="40" t="str">
        <f>'Nhân công'!B6</f>
        <v>N0006</v>
      </c>
      <c r="C20" s="93">
        <v>1</v>
      </c>
      <c r="D20" s="40" t="s">
        <v>330</v>
      </c>
      <c r="E20" s="69" t="str">
        <f>'Nhân công'!H6</f>
        <v>công</v>
      </c>
      <c r="F20" s="110"/>
      <c r="G20" s="110"/>
      <c r="H20" s="110">
        <v>1.35</v>
      </c>
      <c r="I20" s="110"/>
      <c r="J20" s="93">
        <v>1</v>
      </c>
      <c r="K20" s="110"/>
      <c r="L20" s="110">
        <f>ROUND(F18*H20*J20,4)</f>
        <v>16.281</v>
      </c>
      <c r="M20" s="110"/>
    </row>
    <row r="21" spans="1:13" ht="16.5" customHeight="1">
      <c r="A21" s="74"/>
      <c r="B21" s="43"/>
      <c r="C21" s="97"/>
      <c r="D21" s="43"/>
      <c r="E21" s="74"/>
      <c r="F21" s="97"/>
      <c r="G21" s="97"/>
      <c r="H21" s="97"/>
      <c r="I21" s="97"/>
      <c r="J21" s="97"/>
      <c r="K21" s="97"/>
      <c r="L21" s="97"/>
      <c r="M21" s="97"/>
    </row>
  </sheetData>
  <sheetProtection/>
  <mergeCells count="12">
    <mergeCell ref="D5:D6"/>
    <mergeCell ref="E5:E6"/>
    <mergeCell ref="F5:F6"/>
    <mergeCell ref="G5:I5"/>
    <mergeCell ref="J5:J6"/>
    <mergeCell ref="K5:M5"/>
    <mergeCell ref="A1:M1"/>
    <mergeCell ref="A2:M2"/>
    <mergeCell ref="A3:M3"/>
    <mergeCell ref="A5:A6"/>
    <mergeCell ref="B5:B6"/>
    <mergeCell ref="C5:C6"/>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8.xml><?xml version="1.0" encoding="utf-8"?>
<worksheet xmlns="http://schemas.openxmlformats.org/spreadsheetml/2006/main" xmlns:r="http://schemas.openxmlformats.org/officeDocument/2006/relationships">
  <dimension ref="A1:AD11"/>
  <sheetViews>
    <sheetView showZeros="0" zoomScalePageLayoutView="0" workbookViewId="0" topLeftCell="A1">
      <selection activeCell="A1" sqref="A1:AC1"/>
    </sheetView>
  </sheetViews>
  <sheetFormatPr defaultColWidth="9.140625" defaultRowHeight="15"/>
  <cols>
    <col min="1" max="1" width="6.140625" style="125" customWidth="1"/>
    <col min="2" max="2" width="10.8515625" style="125" customWidth="1"/>
    <col min="3" max="3" width="11.140625" style="125" hidden="1" customWidth="1"/>
    <col min="4" max="4" width="11.00390625" style="125" hidden="1" customWidth="1"/>
    <col min="5" max="5" width="42.140625" style="125" customWidth="1"/>
    <col min="6" max="6" width="9.140625" style="125" customWidth="1"/>
    <col min="7" max="7" width="10.00390625" style="125" hidden="1" customWidth="1"/>
    <col min="8" max="8" width="46.140625" style="125" hidden="1" customWidth="1"/>
    <col min="9" max="9" width="13.421875" style="125" customWidth="1"/>
    <col min="10" max="10" width="14.57421875" style="125" customWidth="1"/>
    <col min="11" max="11" width="14.8515625" style="125" hidden="1" customWidth="1"/>
    <col min="12" max="12" width="16.28125" style="125" hidden="1" customWidth="1"/>
    <col min="13" max="13" width="14.8515625" style="125" customWidth="1"/>
    <col min="14" max="14" width="15.140625" style="125" hidden="1" customWidth="1"/>
    <col min="15" max="15" width="8.421875" style="125" hidden="1" customWidth="1"/>
    <col min="16" max="16" width="13.00390625" style="125" hidden="1" customWidth="1"/>
    <col min="17" max="17" width="15.421875" style="125" hidden="1" customWidth="1"/>
    <col min="18" max="18" width="13.140625" style="125" hidden="1" customWidth="1"/>
    <col min="19" max="19" width="14.7109375" style="125" hidden="1" customWidth="1"/>
    <col min="20" max="20" width="12.00390625" style="125" hidden="1" customWidth="1"/>
    <col min="21" max="21" width="16.8515625" style="125" hidden="1" customWidth="1"/>
    <col min="22" max="22" width="12.57421875" style="125" hidden="1" customWidth="1"/>
    <col min="23" max="23" width="11.7109375" style="125" hidden="1" customWidth="1"/>
    <col min="24" max="24" width="12.421875" style="125" hidden="1" customWidth="1"/>
    <col min="25" max="25" width="13.8515625" style="125" hidden="1" customWidth="1"/>
    <col min="26" max="26" width="25.57421875" style="125" hidden="1" customWidth="1"/>
    <col min="27" max="27" width="26.00390625" style="125" hidden="1" customWidth="1"/>
    <col min="28" max="29" width="15.421875" style="125" customWidth="1"/>
    <col min="30" max="30" width="15.7109375" style="125" hidden="1" customWidth="1"/>
    <col min="31" max="16384" width="9.140625" style="125" customWidth="1"/>
  </cols>
  <sheetData>
    <row r="1" spans="1:30" ht="22.5" customHeight="1">
      <c r="A1" s="241" t="s">
        <v>134</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97"/>
    </row>
    <row r="2" spans="1:30" ht="18" customHeight="1">
      <c r="A2" s="256" t="s">
        <v>428</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97"/>
    </row>
    <row r="3" spans="1:30" ht="19.5" customHeight="1">
      <c r="A3" s="234" t="str">
        <f>'Công trình'!A3</f>
        <v>CÔNG TRÌNH: ĐƯỜNG LÂM SINH XÃ HIỀN CHUNG, NAM ĐỘNG, PHÚ XUÂN, HUYỆN QUAN HÓA, TỈNH THANH HÓA</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97"/>
    </row>
    <row r="4" spans="1:30" ht="18" customHeight="1">
      <c r="A4" s="240" t="str">
        <f>'Công trình'!A4</f>
        <v>HẠNG MỤC: XÃ HIỀN CHUNG</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97"/>
    </row>
    <row r="5" spans="1:30" ht="16.5" customHeight="1">
      <c r="A5" s="74"/>
      <c r="B5" s="43"/>
      <c r="C5" s="97"/>
      <c r="D5" s="43"/>
      <c r="E5" s="43"/>
      <c r="F5" s="74"/>
      <c r="G5" s="97"/>
      <c r="H5" s="43"/>
      <c r="I5" s="97"/>
      <c r="J5" s="97"/>
      <c r="K5" s="97"/>
      <c r="L5" s="97"/>
      <c r="M5" s="97"/>
      <c r="N5" s="97"/>
      <c r="O5" s="97"/>
      <c r="P5" s="97"/>
      <c r="Q5" s="97"/>
      <c r="R5" s="97"/>
      <c r="S5" s="97"/>
      <c r="T5" s="97"/>
      <c r="U5" s="97"/>
      <c r="V5" s="97"/>
      <c r="W5" s="97"/>
      <c r="X5" s="97"/>
      <c r="Y5" s="97"/>
      <c r="Z5" s="97"/>
      <c r="AA5" s="97"/>
      <c r="AB5" s="233" t="s">
        <v>74</v>
      </c>
      <c r="AC5" s="233"/>
      <c r="AD5" s="233"/>
    </row>
    <row r="6" spans="1:30" ht="16.5" customHeight="1">
      <c r="A6" s="254" t="s">
        <v>279</v>
      </c>
      <c r="B6" s="255" t="s">
        <v>285</v>
      </c>
      <c r="C6" s="248" t="s">
        <v>389</v>
      </c>
      <c r="D6" s="248" t="s">
        <v>60</v>
      </c>
      <c r="E6" s="248" t="s">
        <v>321</v>
      </c>
      <c r="F6" s="248" t="s">
        <v>486</v>
      </c>
      <c r="G6" s="248" t="s">
        <v>316</v>
      </c>
      <c r="H6" s="248" t="s">
        <v>276</v>
      </c>
      <c r="I6" s="253" t="s">
        <v>73</v>
      </c>
      <c r="J6" s="257" t="s">
        <v>107</v>
      </c>
      <c r="K6" s="257" t="s">
        <v>295</v>
      </c>
      <c r="L6" s="257" t="s">
        <v>352</v>
      </c>
      <c r="M6" s="257" t="s">
        <v>213</v>
      </c>
      <c r="N6" s="257" t="s">
        <v>437</v>
      </c>
      <c r="O6" s="248" t="s">
        <v>356</v>
      </c>
      <c r="P6" s="257" t="s">
        <v>354</v>
      </c>
      <c r="Q6" s="257" t="s">
        <v>257</v>
      </c>
      <c r="R6" s="257" t="s">
        <v>92</v>
      </c>
      <c r="S6" s="257" t="s">
        <v>461</v>
      </c>
      <c r="T6" s="257" t="s">
        <v>504</v>
      </c>
      <c r="U6" s="257" t="s">
        <v>158</v>
      </c>
      <c r="V6" s="248" t="s">
        <v>393</v>
      </c>
      <c r="W6" s="248"/>
      <c r="X6" s="248"/>
      <c r="Y6" s="257" t="s">
        <v>384</v>
      </c>
      <c r="Z6" s="257" t="s">
        <v>242</v>
      </c>
      <c r="AA6" s="257" t="s">
        <v>348</v>
      </c>
      <c r="AB6" s="257" t="s">
        <v>315</v>
      </c>
      <c r="AC6" s="257" t="s">
        <v>305</v>
      </c>
      <c r="AD6" s="257" t="s">
        <v>313</v>
      </c>
    </row>
    <row r="7" spans="1:30" ht="16.5" customHeight="1">
      <c r="A7" s="254"/>
      <c r="B7" s="255"/>
      <c r="C7" s="248"/>
      <c r="D7" s="248"/>
      <c r="E7" s="248"/>
      <c r="F7" s="248"/>
      <c r="G7" s="248"/>
      <c r="H7" s="248"/>
      <c r="I7" s="253"/>
      <c r="J7" s="257"/>
      <c r="K7" s="257"/>
      <c r="L7" s="257"/>
      <c r="M7" s="257"/>
      <c r="N7" s="257"/>
      <c r="O7" s="248"/>
      <c r="P7" s="257"/>
      <c r="Q7" s="257"/>
      <c r="R7" s="257"/>
      <c r="S7" s="257"/>
      <c r="T7" s="257"/>
      <c r="U7" s="257"/>
      <c r="V7" s="39" t="s">
        <v>182</v>
      </c>
      <c r="W7" s="39" t="s">
        <v>236</v>
      </c>
      <c r="X7" s="92" t="s">
        <v>422</v>
      </c>
      <c r="Y7" s="257"/>
      <c r="Z7" s="257"/>
      <c r="AA7" s="257"/>
      <c r="AB7" s="257"/>
      <c r="AC7" s="257"/>
      <c r="AD7" s="257"/>
    </row>
    <row r="8" spans="1:30" ht="15">
      <c r="A8" s="1"/>
      <c r="B8" s="90"/>
      <c r="C8" s="151"/>
      <c r="D8" s="118"/>
      <c r="E8" s="90"/>
      <c r="F8" s="119"/>
      <c r="G8" s="151"/>
      <c r="H8" s="90"/>
      <c r="I8" s="13"/>
      <c r="J8" s="86"/>
      <c r="K8" s="86"/>
      <c r="L8" s="86"/>
      <c r="M8" s="86"/>
      <c r="N8" s="86"/>
      <c r="O8" s="151"/>
      <c r="P8" s="86"/>
      <c r="Q8" s="86"/>
      <c r="R8" s="86"/>
      <c r="S8" s="86"/>
      <c r="T8" s="86"/>
      <c r="U8" s="86"/>
      <c r="V8" s="151"/>
      <c r="W8" s="151"/>
      <c r="X8" s="86"/>
      <c r="Y8" s="86"/>
      <c r="Z8" s="86"/>
      <c r="AA8" s="86"/>
      <c r="AB8" s="86"/>
      <c r="AC8" s="86"/>
      <c r="AD8" s="86"/>
    </row>
    <row r="9" spans="1:30" ht="15" hidden="1">
      <c r="A9" s="56"/>
      <c r="B9" s="137"/>
      <c r="C9" s="46"/>
      <c r="D9" s="137"/>
      <c r="E9" s="137" t="s">
        <v>218</v>
      </c>
      <c r="F9" s="12"/>
      <c r="G9" s="46"/>
      <c r="H9" s="137"/>
      <c r="I9" s="67"/>
      <c r="J9" s="128"/>
      <c r="K9" s="128">
        <f>ROUND(SUMIF(D8:D8,"&gt;0",K8:K8),0)</f>
        <v>0</v>
      </c>
      <c r="L9" s="128"/>
      <c r="M9" s="128"/>
      <c r="N9" s="128">
        <f>ROUND(SUMIF(D8:D8,"&gt;0",N8:N8),0)</f>
        <v>0</v>
      </c>
      <c r="O9" s="46"/>
      <c r="P9" s="128"/>
      <c r="Q9" s="128"/>
      <c r="R9" s="128"/>
      <c r="S9" s="128"/>
      <c r="T9" s="128"/>
      <c r="U9" s="128"/>
      <c r="V9" s="46"/>
      <c r="W9" s="46"/>
      <c r="X9" s="128"/>
      <c r="Y9" s="128"/>
      <c r="Z9" s="128"/>
      <c r="AA9" s="128">
        <f>ROUND(SUMIF(D8:D8,"&gt;0",AA8:AA8),0)</f>
        <v>0</v>
      </c>
      <c r="AB9" s="128"/>
      <c r="AC9" s="128">
        <f>ROUND(SUMIF(D8:D8,"&gt;0",AC8:AC8),0)</f>
        <v>0</v>
      </c>
      <c r="AD9" s="128">
        <f>ROUND(SUMIF(D8:D8,"&gt;0",AD8:AD8),0)</f>
        <v>0</v>
      </c>
    </row>
    <row r="10" spans="1:30" ht="18" customHeight="1">
      <c r="A10" s="56"/>
      <c r="B10" s="137"/>
      <c r="C10" s="88"/>
      <c r="D10" s="63"/>
      <c r="E10" s="137" t="s">
        <v>52</v>
      </c>
      <c r="F10" s="12"/>
      <c r="G10" s="88"/>
      <c r="H10" s="35"/>
      <c r="I10" s="67"/>
      <c r="J10" s="128"/>
      <c r="K10" s="128">
        <f>ROUND(SUMIF(C8:C8,"&gt;0",K8:K8),0)</f>
        <v>0</v>
      </c>
      <c r="L10" s="19"/>
      <c r="M10" s="128"/>
      <c r="N10" s="128">
        <f>ROUND(SUMIF(C8:C8,"&gt;0",N8:N8),0)</f>
        <v>0</v>
      </c>
      <c r="O10" s="88"/>
      <c r="P10" s="19"/>
      <c r="Q10" s="128">
        <f>ROUND(SUMIF(C8:C8,"&gt;0",Q8:Q8),0)</f>
        <v>0</v>
      </c>
      <c r="R10" s="19"/>
      <c r="S10" s="128">
        <f>ROUND(SUMIF(C8:C8,"&gt;0",S8:S8),0)</f>
        <v>0</v>
      </c>
      <c r="T10" s="19"/>
      <c r="U10" s="128">
        <f>ROUND(SUMIF(C8:C8,"&gt;0",U8:U8),0)</f>
        <v>0</v>
      </c>
      <c r="V10" s="88"/>
      <c r="W10" s="88"/>
      <c r="X10" s="19"/>
      <c r="Y10" s="19"/>
      <c r="Z10" s="19"/>
      <c r="AA10" s="128">
        <f>ROUND(SUMIF(C8:C8,"&gt;0",AA8:AA8),0)</f>
        <v>0</v>
      </c>
      <c r="AB10" s="128"/>
      <c r="AC10" s="128">
        <f>ROUND(SUMIF(C8:C8,"&gt;0",AC8:AC8),0)</f>
        <v>0</v>
      </c>
      <c r="AD10" s="128">
        <f>ROUND(SUMIF(C8:C8,"&gt;0",AD8:AD8),0)</f>
        <v>0</v>
      </c>
    </row>
    <row r="11" spans="1:30" ht="16.5" customHeight="1">
      <c r="A11" s="74"/>
      <c r="B11" s="43"/>
      <c r="C11" s="97"/>
      <c r="D11" s="43"/>
      <c r="E11" s="43"/>
      <c r="F11" s="74"/>
      <c r="G11" s="97"/>
      <c r="H11" s="43"/>
      <c r="I11" s="97"/>
      <c r="J11" s="97"/>
      <c r="K11" s="97"/>
      <c r="L11" s="97"/>
      <c r="M11" s="97"/>
      <c r="N11" s="97"/>
      <c r="O11" s="97"/>
      <c r="P11" s="97"/>
      <c r="Q11" s="97"/>
      <c r="R11" s="97"/>
      <c r="S11" s="97"/>
      <c r="T11" s="97"/>
      <c r="U11" s="97"/>
      <c r="V11" s="97"/>
      <c r="W11" s="97"/>
      <c r="X11" s="97"/>
      <c r="Y11" s="97"/>
      <c r="Z11" s="97"/>
      <c r="AA11" s="97"/>
      <c r="AB11" s="97"/>
      <c r="AC11" s="97"/>
      <c r="AD11" s="97"/>
    </row>
  </sheetData>
  <sheetProtection/>
  <mergeCells count="33">
    <mergeCell ref="Z6:Z7"/>
    <mergeCell ref="AA6:AA7"/>
    <mergeCell ref="AB6:AB7"/>
    <mergeCell ref="AC6:AC7"/>
    <mergeCell ref="AD6:AD7"/>
    <mergeCell ref="R6:R7"/>
    <mergeCell ref="S6:S7"/>
    <mergeCell ref="T6:T7"/>
    <mergeCell ref="U6:U7"/>
    <mergeCell ref="V6:X6"/>
    <mergeCell ref="Y6:Y7"/>
    <mergeCell ref="L6:L7"/>
    <mergeCell ref="M6:M7"/>
    <mergeCell ref="N6:N7"/>
    <mergeCell ref="O6:O7"/>
    <mergeCell ref="P6:P7"/>
    <mergeCell ref="Q6:Q7"/>
    <mergeCell ref="F6:F7"/>
    <mergeCell ref="G6:G7"/>
    <mergeCell ref="H6:H7"/>
    <mergeCell ref="I6:I7"/>
    <mergeCell ref="J6:J7"/>
    <mergeCell ref="K6:K7"/>
    <mergeCell ref="A1:AC1"/>
    <mergeCell ref="A2:AC2"/>
    <mergeCell ref="A3:AC3"/>
    <mergeCell ref="A4:AC4"/>
    <mergeCell ref="AB5:AD5"/>
    <mergeCell ref="A6:A7"/>
    <mergeCell ref="B6:B7"/>
    <mergeCell ref="C6:C7"/>
    <mergeCell ref="D6:D7"/>
    <mergeCell ref="E6:E7"/>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xl/worksheets/sheet9.xml><?xml version="1.0" encoding="utf-8"?>
<worksheet xmlns="http://schemas.openxmlformats.org/spreadsheetml/2006/main" xmlns:r="http://schemas.openxmlformats.org/officeDocument/2006/relationships">
  <dimension ref="A1:E21"/>
  <sheetViews>
    <sheetView showZeros="0" zoomScalePageLayoutView="0" workbookViewId="0" topLeftCell="A1">
      <selection activeCell="A1" sqref="A1:E1"/>
    </sheetView>
  </sheetViews>
  <sheetFormatPr defaultColWidth="9.140625" defaultRowHeight="15"/>
  <cols>
    <col min="1" max="1" width="6.57421875" style="125" customWidth="1"/>
    <col min="2" max="2" width="36.7109375" style="125" customWidth="1"/>
    <col min="3" max="3" width="39.57421875" style="125" customWidth="1"/>
    <col min="4" max="4" width="19.28125" style="125" customWidth="1"/>
    <col min="5" max="5" width="12.8515625" style="125" customWidth="1"/>
    <col min="6" max="16384" width="9.140625" style="125" customWidth="1"/>
  </cols>
  <sheetData>
    <row r="1" spans="1:5" ht="22.5" customHeight="1">
      <c r="A1" s="241" t="s">
        <v>47</v>
      </c>
      <c r="B1" s="241"/>
      <c r="C1" s="241"/>
      <c r="D1" s="241"/>
      <c r="E1" s="241"/>
    </row>
    <row r="2" spans="1:5" ht="19.5" customHeight="1">
      <c r="A2" s="234" t="str">
        <f>'Công trình'!A3</f>
        <v>CÔNG TRÌNH: ĐƯỜNG LÂM SINH XÃ HIỀN CHUNG, NAM ĐỘNG, PHÚ XUÂN, HUYỆN QUAN HÓA, TỈNH THANH HÓA</v>
      </c>
      <c r="B2" s="234"/>
      <c r="C2" s="234"/>
      <c r="D2" s="234"/>
      <c r="E2" s="234"/>
    </row>
    <row r="3" spans="1:5" ht="18" customHeight="1">
      <c r="A3" s="74"/>
      <c r="B3" s="43"/>
      <c r="C3" s="74"/>
      <c r="D3" s="233" t="s">
        <v>280</v>
      </c>
      <c r="E3" s="233"/>
    </row>
    <row r="4" spans="1:5" ht="18.75" customHeight="1">
      <c r="A4" s="53" t="s">
        <v>279</v>
      </c>
      <c r="B4" s="7" t="s">
        <v>136</v>
      </c>
      <c r="C4" s="7" t="s">
        <v>101</v>
      </c>
      <c r="D4" s="92" t="s">
        <v>410</v>
      </c>
      <c r="E4" s="7" t="s">
        <v>432</v>
      </c>
    </row>
    <row r="5" spans="1:5" ht="15">
      <c r="A5" s="1">
        <v>1</v>
      </c>
      <c r="B5" s="126" t="s">
        <v>496</v>
      </c>
      <c r="C5" s="119" t="s">
        <v>245</v>
      </c>
      <c r="D5" s="86">
        <f>SUM(D6:D6)</f>
        <v>188148955</v>
      </c>
      <c r="E5" s="119" t="s">
        <v>429</v>
      </c>
    </row>
    <row r="6" spans="1:5" ht="15">
      <c r="A6" s="30"/>
      <c r="B6" s="109" t="s">
        <v>110</v>
      </c>
      <c r="C6" s="146"/>
      <c r="D6" s="104">
        <f>'TH dự toán hạng mục'!D25*1</f>
        <v>188148955</v>
      </c>
      <c r="E6" s="146"/>
    </row>
    <row r="7" spans="1:5" ht="15">
      <c r="A7" s="30">
        <v>2</v>
      </c>
      <c r="B7" s="109" t="s">
        <v>469</v>
      </c>
      <c r="C7" s="146" t="str">
        <f>"(G x "&amp;'Hệ số'!D10*100&amp;"%)"</f>
        <v>(G x 10%)</v>
      </c>
      <c r="D7" s="104">
        <f>ROUND(D5*'Hệ số'!C10,0)</f>
        <v>18814896</v>
      </c>
      <c r="E7" s="146" t="s">
        <v>17</v>
      </c>
    </row>
    <row r="8" spans="1:5" ht="15">
      <c r="A8" s="30">
        <v>3</v>
      </c>
      <c r="B8" s="156" t="s">
        <v>477</v>
      </c>
      <c r="C8" s="146" t="str">
        <f>"(G + GTGT)"</f>
        <v>(G + GTGT)</v>
      </c>
      <c r="D8" s="104">
        <f>ROUND(D5+D7,0)</f>
        <v>206963851</v>
      </c>
      <c r="E8" s="146" t="s">
        <v>11</v>
      </c>
    </row>
    <row r="9" spans="1:5" ht="15">
      <c r="A9" s="100"/>
      <c r="B9" s="101" t="s">
        <v>19</v>
      </c>
      <c r="C9" s="69" t="str">
        <f>"(Gxd)"</f>
        <v>(Gxd)</v>
      </c>
      <c r="D9" s="73">
        <f>ROUND(D8,0)</f>
        <v>206963851</v>
      </c>
      <c r="E9" s="101"/>
    </row>
    <row r="10" spans="1:5" ht="18" customHeight="1">
      <c r="A10" s="91"/>
      <c r="B10" s="95" t="s">
        <v>386</v>
      </c>
      <c r="C10" s="64" t="s">
        <v>298</v>
      </c>
      <c r="D10" s="61">
        <f>ROUND(D9,-3)</f>
        <v>206964000</v>
      </c>
      <c r="E10" s="64"/>
    </row>
    <row r="11" spans="1:5" ht="18" customHeight="1">
      <c r="A11" s="239" t="e">
        <f>TienBangChu(D10)</f>
        <v>#NAME?</v>
      </c>
      <c r="B11" s="239"/>
      <c r="C11" s="239"/>
      <c r="D11" s="239"/>
      <c r="E11" s="239"/>
    </row>
    <row r="12" spans="1:5" ht="18" customHeight="1">
      <c r="A12" s="74"/>
      <c r="B12" s="43"/>
      <c r="C12" s="74"/>
      <c r="D12" s="97"/>
      <c r="E12" s="74"/>
    </row>
    <row r="13" spans="1:5" ht="18" customHeight="1">
      <c r="A13" s="74"/>
      <c r="B13" s="74" t="s">
        <v>492</v>
      </c>
      <c r="C13" s="238" t="s">
        <v>418</v>
      </c>
      <c r="D13" s="238"/>
      <c r="E13" s="238"/>
    </row>
    <row r="14" spans="1:5" ht="18" customHeight="1">
      <c r="A14" s="74"/>
      <c r="B14" s="43"/>
      <c r="C14" s="74"/>
      <c r="D14" s="97"/>
      <c r="E14" s="74"/>
    </row>
    <row r="15" spans="1:5" ht="18" customHeight="1">
      <c r="A15" s="74"/>
      <c r="B15" s="43"/>
      <c r="C15" s="74"/>
      <c r="D15" s="97"/>
      <c r="E15" s="74"/>
    </row>
    <row r="16" spans="1:5" ht="18" customHeight="1">
      <c r="A16" s="74"/>
      <c r="B16" s="43"/>
      <c r="C16" s="74"/>
      <c r="D16" s="97"/>
      <c r="E16" s="74"/>
    </row>
    <row r="17" spans="1:5" ht="18" customHeight="1">
      <c r="A17" s="74"/>
      <c r="B17" s="43"/>
      <c r="C17" s="74"/>
      <c r="D17" s="97"/>
      <c r="E17" s="74"/>
    </row>
    <row r="18" spans="1:5" ht="18" customHeight="1">
      <c r="A18" s="74"/>
      <c r="B18" s="74" t="s">
        <v>116</v>
      </c>
      <c r="C18" s="238" t="s">
        <v>116</v>
      </c>
      <c r="D18" s="238"/>
      <c r="E18" s="238"/>
    </row>
    <row r="19" spans="1:5" ht="18" customHeight="1">
      <c r="A19" s="74"/>
      <c r="B19" s="74" t="s">
        <v>458</v>
      </c>
      <c r="C19" s="238" t="s">
        <v>379</v>
      </c>
      <c r="D19" s="238"/>
      <c r="E19" s="238"/>
    </row>
    <row r="20" spans="1:5" ht="18" customHeight="1">
      <c r="A20" s="74"/>
      <c r="B20" s="43"/>
      <c r="C20" s="238" t="s">
        <v>142</v>
      </c>
      <c r="D20" s="238"/>
      <c r="E20" s="238"/>
    </row>
    <row r="21" spans="1:5" ht="18" customHeight="1">
      <c r="A21" s="74"/>
      <c r="B21" s="43"/>
      <c r="C21" s="74"/>
      <c r="D21" s="97"/>
      <c r="E21" s="74"/>
    </row>
  </sheetData>
  <sheetProtection/>
  <mergeCells count="8">
    <mergeCell ref="C19:E19"/>
    <mergeCell ref="C20:E20"/>
    <mergeCell ref="A1:E1"/>
    <mergeCell ref="A2:E2"/>
    <mergeCell ref="D3:E3"/>
    <mergeCell ref="A11:E11"/>
    <mergeCell ref="C13:E13"/>
    <mergeCell ref="C18:E18"/>
  </mergeCells>
  <printOptions/>
  <pageMargins left="0.7" right="0.7" top="0.75" bottom="0.75" header="0.3" footer="0.3"/>
  <pageSetup horizontalDpi="600" verticalDpi="600" orientation="landscape" paperSize="9"/>
  <headerFooter alignWithMargins="0">
    <oddHeader>&amp;L&amp;BDự toán F1</oddHeader>
    <oddFooter>&amp;L&amp;I&amp;F\&amp;A Trang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 8.1 VS 10 Update</cp:lastModifiedBy>
  <cp:lastPrinted>2021-10-17T04:25:57Z</cp:lastPrinted>
  <dcterms:modified xsi:type="dcterms:W3CDTF">2021-11-24T10:31:54Z</dcterms:modified>
  <cp:category/>
  <cp:version/>
  <cp:contentType/>
  <cp:contentStatus/>
</cp:coreProperties>
</file>